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360" windowWidth="11220" windowHeight="7520" activeTab="0"/>
  </bookViews>
  <sheets>
    <sheet name="Non-c Atomic Conts.1B" sheetId="1" r:id="rId1"/>
  </sheets>
  <definedNames>
    <definedName name="_xlnm.Print_Area" localSheetId="0">'Non-c Atomic Conts.1B'!$A$1:$M$657</definedName>
  </definedNames>
  <calcPr fullCalcOnLoad="1"/>
</workbook>
</file>

<file path=xl/sharedStrings.xml><?xml version="1.0" encoding="utf-8"?>
<sst xmlns="http://schemas.openxmlformats.org/spreadsheetml/2006/main" count="966" uniqueCount="241">
  <si>
    <t>Driscoll &amp; Olsen</t>
  </si>
  <si>
    <t>mean</t>
  </si>
  <si>
    <t>Yagola/Zingerman/Sepetyi</t>
  </si>
  <si>
    <t>AVERAGE for 1968</t>
  </si>
  <si>
    <t>Taylor/Parker/Langenberg</t>
  </si>
  <si>
    <t>Olsen &amp; Driscoll</t>
  </si>
  <si>
    <t>Olsen &amp; Williams</t>
  </si>
  <si>
    <t>AVERAGE for 1977</t>
  </si>
  <si>
    <t>Kibble &amp; Hunt</t>
  </si>
  <si>
    <t>Williams &amp; Olsen</t>
  </si>
  <si>
    <t>AVERAGE for 1980</t>
  </si>
  <si>
    <t>AVERAGE for 1981</t>
  </si>
  <si>
    <t>Oil-drop mean</t>
  </si>
  <si>
    <t># Pioneer results (inaccurate)</t>
  </si>
  <si>
    <t>t Test</t>
  </si>
  <si>
    <t>X-ray</t>
  </si>
  <si>
    <t>av-now</t>
  </si>
  <si>
    <t>XM</t>
  </si>
  <si>
    <t>X-ray mean</t>
  </si>
  <si>
    <t>current value taken as 4.803242</t>
  </si>
  <si>
    <t>n</t>
  </si>
  <si>
    <t>XP</t>
  </si>
  <si>
    <t>X-ray powder method</t>
  </si>
  <si>
    <t>(n-1)exp.5</t>
  </si>
  <si>
    <t>2m</t>
  </si>
  <si>
    <t>m</t>
  </si>
  <si>
    <t>STDEV(r)</t>
  </si>
  <si>
    <t>Specific Charge, e/mc</t>
  </si>
  <si>
    <t>Setterfield Table 14</t>
  </si>
  <si>
    <t>e/mc*</t>
  </si>
  <si>
    <t xml:space="preserve">Method </t>
  </si>
  <si>
    <t>J. J. Thomson</t>
  </si>
  <si>
    <t>CF</t>
  </si>
  <si>
    <t>Bestelmeyer</t>
  </si>
  <si>
    <t>MM</t>
  </si>
  <si>
    <t>Paschen</t>
  </si>
  <si>
    <t>FS</t>
  </si>
  <si>
    <t>Babcok</t>
  </si>
  <si>
    <t>ZE</t>
  </si>
  <si>
    <t>Gerlach</t>
  </si>
  <si>
    <t>AVERAGE for 1927</t>
  </si>
  <si>
    <t>Babcock</t>
  </si>
  <si>
    <t>Perry/Chaffee#</t>
  </si>
  <si>
    <t>DV</t>
  </si>
  <si>
    <t>Campbell/Houston</t>
  </si>
  <si>
    <t>AVERAGE for 1932</t>
  </si>
  <si>
    <t>Kinsler/Houston#</t>
  </si>
  <si>
    <t>Shane/Spedding#</t>
  </si>
  <si>
    <t>AVERAGE for 1937</t>
  </si>
  <si>
    <t>Drinkwater et al.#</t>
  </si>
  <si>
    <t>Birge</t>
  </si>
  <si>
    <t>DuMond/Cohen</t>
  </si>
  <si>
    <t>AVERAGE for 1951</t>
  </si>
  <si>
    <t>Cohen/DuMond</t>
  </si>
  <si>
    <t>Taylor et al</t>
  </si>
  <si>
    <t># Corrected by Birge</t>
  </si>
  <si>
    <t>* x (10)exp7 EMU/gm</t>
  </si>
  <si>
    <t>## Corrected by DuMond</t>
  </si>
  <si>
    <t>current value taken as 1.7588047</t>
  </si>
  <si>
    <t>Experimental Values of h/e</t>
  </si>
  <si>
    <t>Setterfield Table 15A</t>
  </si>
  <si>
    <t xml:space="preserve">h/e </t>
  </si>
  <si>
    <t>error, ±</t>
  </si>
  <si>
    <t>Duane/Palmer/Yeh*</t>
  </si>
  <si>
    <t>Lawrence*</t>
  </si>
  <si>
    <t>Lukirsky/Prilezaev#</t>
  </si>
  <si>
    <t>Feder*</t>
  </si>
  <si>
    <t>Olpin#</t>
  </si>
  <si>
    <t>Van Atta#</t>
  </si>
  <si>
    <t>AVERAGE for 1934</t>
  </si>
  <si>
    <t>Whiddington/Woodroofe#</t>
  </si>
  <si>
    <t>Schaitberger*</t>
  </si>
  <si>
    <t>DuMond/Bollman*</t>
  </si>
  <si>
    <t>Dunnington</t>
  </si>
  <si>
    <t>AVERAGE for 1941</t>
  </si>
  <si>
    <t>Panofsky et al.</t>
  </si>
  <si>
    <t>Bearden et al.</t>
  </si>
  <si>
    <t>Felt/Harris/DuMond</t>
  </si>
  <si>
    <t>Taylor et al.</t>
  </si>
  <si>
    <t>2e/h From the ac Josephson Effect</t>
  </si>
  <si>
    <t>Setterfield Table 15B</t>
  </si>
  <si>
    <t>Lab</t>
  </si>
  <si>
    <t>2e/h</t>
  </si>
  <si>
    <t>NBS</t>
  </si>
  <si>
    <t>NPL</t>
  </si>
  <si>
    <t>NSL</t>
  </si>
  <si>
    <t>PTB</t>
  </si>
  <si>
    <t>The NBS Value in 1968 was 483597.2 ± 1.2</t>
  </si>
  <si>
    <t>current value</t>
  </si>
  <si>
    <t>Quantized Hall Resistance, Rh = h/(e)sqd</t>
  </si>
  <si>
    <t>Setterfield Table 15c</t>
  </si>
  <si>
    <t>Rh (Ohmsbi)</t>
  </si>
  <si>
    <t>Klitzing et al.</t>
  </si>
  <si>
    <t>NBS (US)</t>
  </si>
  <si>
    <t>ETL, NPL, VSL Mean</t>
  </si>
  <si>
    <t>LCIE (France)</t>
  </si>
  <si>
    <t>PTB (FRG)</t>
  </si>
  <si>
    <t>The Rydberg Constant</t>
  </si>
  <si>
    <t>Setterfield Table 16</t>
  </si>
  <si>
    <t>R (Infinity)</t>
  </si>
  <si>
    <t>Rydberg</t>
  </si>
  <si>
    <t>Bohr</t>
  </si>
  <si>
    <t>Pickering/Fowler</t>
  </si>
  <si>
    <t>AVERAGE by 1927</t>
  </si>
  <si>
    <t>Chu</t>
  </si>
  <si>
    <t>Drinkwater, et al.</t>
  </si>
  <si>
    <t>DuMond &amp; Cohen</t>
  </si>
  <si>
    <t>AVERAGE by 1952</t>
  </si>
  <si>
    <t>Cohen &amp; Dummond</t>
  </si>
  <si>
    <t>Csillag</t>
  </si>
  <si>
    <t>Cohen, Taylor</t>
  </si>
  <si>
    <t>Hansch et al.</t>
  </si>
  <si>
    <t>Weber/Goldsmith</t>
  </si>
  <si>
    <t>Petley et al.</t>
  </si>
  <si>
    <t>Amin et al.</t>
  </si>
  <si>
    <t>The Proton Gyromagnetic Ratio (gamma')</t>
  </si>
  <si>
    <t>Setterfield Table 17</t>
  </si>
  <si>
    <t xml:space="preserve">gamma' </t>
  </si>
  <si>
    <t>Thomas/Driscoll/Hipple</t>
  </si>
  <si>
    <t>Wilhelmy*</t>
  </si>
  <si>
    <t>Driscoll and Bender</t>
  </si>
  <si>
    <t>Yanovskii &amp; Bender</t>
  </si>
  <si>
    <t>Capptuller</t>
  </si>
  <si>
    <t>AVERAGE for 1962</t>
  </si>
  <si>
    <t>Gravitational Constant, G</t>
  </si>
  <si>
    <t>Setterfield Table 20</t>
  </si>
  <si>
    <t>Experimenter</t>
  </si>
  <si>
    <t xml:space="preserve">G </t>
  </si>
  <si>
    <t>Cavendish</t>
  </si>
  <si>
    <t>Reich#</t>
  </si>
  <si>
    <t>Baily#</t>
  </si>
  <si>
    <t>Cornu/Baille</t>
  </si>
  <si>
    <t>Jolly#</t>
  </si>
  <si>
    <t>Eotvos</t>
  </si>
  <si>
    <t>Richarz/K-Menzel</t>
  </si>
  <si>
    <t>Wilsing#</t>
  </si>
  <si>
    <t>Poynting</t>
  </si>
  <si>
    <t>Boys</t>
  </si>
  <si>
    <t>Braun</t>
  </si>
  <si>
    <t>Burgess#</t>
  </si>
  <si>
    <t>Heyl</t>
  </si>
  <si>
    <t>Zahradnicek</t>
  </si>
  <si>
    <t>Heyl/Chrzanowski</t>
  </si>
  <si>
    <t>Rose et al.</t>
  </si>
  <si>
    <t>Pontikis</t>
  </si>
  <si>
    <t>Renner</t>
  </si>
  <si>
    <t>Karagioz</t>
  </si>
  <si>
    <t>Sagitov</t>
  </si>
  <si>
    <t>Stacey et al.</t>
  </si>
  <si>
    <t>Luther/Towler</t>
  </si>
  <si>
    <t>Edited Values</t>
  </si>
  <si>
    <t>END of DATA 12/10/91 LTD</t>
  </si>
  <si>
    <t>Additions and Changes 1/27/92</t>
  </si>
  <si>
    <t>Outliers Removed and Dates sorted and averaged</t>
  </si>
  <si>
    <t>Average for year</t>
  </si>
  <si>
    <t>Wadlund#</t>
  </si>
  <si>
    <t>Backlin#</t>
  </si>
  <si>
    <t>Sodernman</t>
  </si>
  <si>
    <t>Backlin</t>
  </si>
  <si>
    <t>DuMond/Bollman</t>
  </si>
  <si>
    <t>Backlin/Flemberg</t>
  </si>
  <si>
    <t>Bollman/DuMond</t>
  </si>
  <si>
    <t>Miller/DuMond</t>
  </si>
  <si>
    <t>Average Value by year</t>
  </si>
  <si>
    <t>Two values deleted from previous set</t>
  </si>
  <si>
    <t>(outliers)</t>
  </si>
  <si>
    <t>Kirkpatrick/Ross*</t>
  </si>
  <si>
    <t>Millikan#</t>
  </si>
  <si>
    <t>Wensel</t>
  </si>
  <si>
    <t>Ohlin</t>
  </si>
  <si>
    <t>Schwarz/Bearden</t>
  </si>
  <si>
    <t>REVISED</t>
  </si>
  <si>
    <t>one outlier removed</t>
  </si>
  <si>
    <t>Houston</t>
  </si>
  <si>
    <t>Cohen</t>
  </si>
  <si>
    <t>2 Outliers removed</t>
  </si>
  <si>
    <t>Gas Constant</t>
  </si>
  <si>
    <t>Setterfield Table 17A</t>
  </si>
  <si>
    <t>Gas Contant</t>
  </si>
  <si>
    <t>Boltzman Constant</t>
  </si>
  <si>
    <t>Setterfield Table 16A</t>
  </si>
  <si>
    <t>Boltz Const</t>
  </si>
  <si>
    <t>Bohr Magneton</t>
  </si>
  <si>
    <t>Setterfield Table 18A</t>
  </si>
  <si>
    <t>BM</t>
  </si>
  <si>
    <t>Atomic Constants Other than c</t>
  </si>
  <si>
    <t>Updated 3/18/92 by LTD</t>
  </si>
  <si>
    <t>Updated Again 4/4/92 by LTD (averaging by year as noted)</t>
  </si>
  <si>
    <t>Values of the Electronic Charge, e</t>
  </si>
  <si>
    <t>Averaged by Year</t>
  </si>
  <si>
    <t>Setterfield Table 13</t>
  </si>
  <si>
    <t>No.</t>
  </si>
  <si>
    <t>Authority</t>
  </si>
  <si>
    <t>Date</t>
  </si>
  <si>
    <t>value of e, ESU*</t>
  </si>
  <si>
    <t>Error, ±</t>
  </si>
  <si>
    <t>Method</t>
  </si>
  <si>
    <t>Ref</t>
  </si>
  <si>
    <t>Outlier</t>
  </si>
  <si>
    <t>(Xi - Xi+1)sqd</t>
  </si>
  <si>
    <t>(Xi-Xav)</t>
  </si>
  <si>
    <t>(X-Xav)sqd</t>
  </si>
  <si>
    <t>Run No.</t>
  </si>
  <si>
    <t>Millikan</t>
  </si>
  <si>
    <t>OD</t>
  </si>
  <si>
    <t>AVERAGE for 1917</t>
  </si>
  <si>
    <t>AVERAGE for 1928</t>
  </si>
  <si>
    <t>R. T. Birge</t>
  </si>
  <si>
    <t>AV</t>
  </si>
  <si>
    <t>Bearden</t>
  </si>
  <si>
    <t>?</t>
  </si>
  <si>
    <t>XR</t>
  </si>
  <si>
    <t>AVERAGE for 1935</t>
  </si>
  <si>
    <t>AVERAGE for 1936</t>
  </si>
  <si>
    <t>Ishida, et al.</t>
  </si>
  <si>
    <t>x</t>
  </si>
  <si>
    <t>AVERAGE for 1938</t>
  </si>
  <si>
    <t>AVERAGE for 1939</t>
  </si>
  <si>
    <t>DuMond</t>
  </si>
  <si>
    <t>Hopper &amp; Laby</t>
  </si>
  <si>
    <t>AVERAGE for 1940</t>
  </si>
  <si>
    <t>AVERAGE for 1944</t>
  </si>
  <si>
    <t>AVERAGE for 1947</t>
  </si>
  <si>
    <t>Bearden &amp; Watts</t>
  </si>
  <si>
    <t>AVERAGE for 1952</t>
  </si>
  <si>
    <t>Cohen et al.</t>
  </si>
  <si>
    <t>Cohen &amp; DuMond</t>
  </si>
  <si>
    <t>Taylor, et al.</t>
  </si>
  <si>
    <t>Cohen &amp; Taylor</t>
  </si>
  <si>
    <t>Mean</t>
  </si>
  <si>
    <t>SUMS&gt;</t>
  </si>
  <si>
    <t>STDEV</t>
  </si>
  <si>
    <t>VAR</t>
  </si>
  <si>
    <t>Statistical Calcs</t>
  </si>
  <si>
    <t>Confidence Level</t>
  </si>
  <si>
    <t>Experiment Type (Method)</t>
  </si>
  <si>
    <t>* x (10)exp-10</t>
  </si>
  <si>
    <t>MSSD</t>
  </si>
  <si>
    <t>Oil Drop</t>
  </si>
  <si>
    <t>Run Test Z</t>
  </si>
  <si>
    <t>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</si>
</sst>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000"/>
    <numFmt numFmtId="165" formatCode="0.00000"/>
    <numFmt numFmtId="166" formatCode="0.0000000"/>
    <numFmt numFmtId="167" formatCode="0.000000"/>
    <numFmt numFmtId="168" formatCode="0.000"/>
    <numFmt numFmtId="169" formatCode="0.0000"/>
    <numFmt numFmtId="170" formatCode="0.0000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Avant Garde"/>
      <family val="0"/>
    </font>
    <font>
      <b/>
      <sz val="12"/>
      <name val="Avant Garde"/>
      <family val="0"/>
    </font>
    <font>
      <sz val="10"/>
      <name val="Times"/>
      <family val="0"/>
    </font>
    <font>
      <b/>
      <sz val="12"/>
      <name val="Times"/>
      <family val="0"/>
    </font>
    <font>
      <b/>
      <sz val="10"/>
      <name val="Times"/>
      <family val="0"/>
    </font>
    <font>
      <sz val="12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12</xdr:col>
      <xdr:colOff>523875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71625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5295900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162925"/>
          <a:ext cx="938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57150</xdr:colOff>
      <xdr:row>73</xdr:row>
      <xdr:rowOff>9525</xdr:rowOff>
    </xdr:from>
    <xdr:to>
      <xdr:col>12</xdr:col>
      <xdr:colOff>504825</xdr:colOff>
      <xdr:row>73</xdr:row>
      <xdr:rowOff>9525</xdr:rowOff>
    </xdr:to>
    <xdr:sp>
      <xdr:nvSpPr>
        <xdr:cNvPr id="4" name="Line 4"/>
        <xdr:cNvSpPr>
          <a:spLocks/>
        </xdr:cNvSpPr>
      </xdr:nvSpPr>
      <xdr:spPr>
        <a:xfrm>
          <a:off x="57150" y="12058650"/>
          <a:ext cx="930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13</xdr:col>
      <xdr:colOff>28575</xdr:colOff>
      <xdr:row>93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15401925"/>
          <a:ext cx="939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57150</xdr:colOff>
      <xdr:row>117</xdr:row>
      <xdr:rowOff>152400</xdr:rowOff>
    </xdr:from>
    <xdr:to>
      <xdr:col>13</xdr:col>
      <xdr:colOff>9525</xdr:colOff>
      <xdr:row>117</xdr:row>
      <xdr:rowOff>152400</xdr:rowOff>
    </xdr:to>
    <xdr:sp>
      <xdr:nvSpPr>
        <xdr:cNvPr id="6" name="Line 6"/>
        <xdr:cNvSpPr>
          <a:spLocks/>
        </xdr:cNvSpPr>
      </xdr:nvSpPr>
      <xdr:spPr>
        <a:xfrm>
          <a:off x="57150" y="1944052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47625</xdr:colOff>
      <xdr:row>140</xdr:row>
      <xdr:rowOff>0</xdr:rowOff>
    </xdr:from>
    <xdr:to>
      <xdr:col>13</xdr:col>
      <xdr:colOff>0</xdr:colOff>
      <xdr:row>140</xdr:row>
      <xdr:rowOff>0</xdr:rowOff>
    </xdr:to>
    <xdr:sp>
      <xdr:nvSpPr>
        <xdr:cNvPr id="7" name="Line 7"/>
        <xdr:cNvSpPr>
          <a:spLocks/>
        </xdr:cNvSpPr>
      </xdr:nvSpPr>
      <xdr:spPr>
        <a:xfrm>
          <a:off x="47625" y="2309812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170</xdr:row>
      <xdr:rowOff>9525</xdr:rowOff>
    </xdr:from>
    <xdr:to>
      <xdr:col>12</xdr:col>
      <xdr:colOff>514350</xdr:colOff>
      <xdr:row>170</xdr:row>
      <xdr:rowOff>9525</xdr:rowOff>
    </xdr:to>
    <xdr:sp>
      <xdr:nvSpPr>
        <xdr:cNvPr id="8" name="Line 8"/>
        <xdr:cNvSpPr>
          <a:spLocks/>
        </xdr:cNvSpPr>
      </xdr:nvSpPr>
      <xdr:spPr>
        <a:xfrm>
          <a:off x="9525" y="28051125"/>
          <a:ext cx="936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9525</xdr:rowOff>
    </xdr:from>
    <xdr:to>
      <xdr:col>12</xdr:col>
      <xdr:colOff>514350</xdr:colOff>
      <xdr:row>176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0" y="29022675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13</xdr:col>
      <xdr:colOff>9525</xdr:colOff>
      <xdr:row>192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31718250"/>
          <a:ext cx="936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215</xdr:row>
      <xdr:rowOff>0</xdr:rowOff>
    </xdr:from>
    <xdr:to>
      <xdr:col>12</xdr:col>
      <xdr:colOff>514350</xdr:colOff>
      <xdr:row>215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35442525"/>
          <a:ext cx="935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13</xdr:col>
      <xdr:colOff>0</xdr:colOff>
      <xdr:row>232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38309550"/>
          <a:ext cx="935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9525</xdr:colOff>
      <xdr:row>253</xdr:row>
      <xdr:rowOff>0</xdr:rowOff>
    </xdr:from>
    <xdr:to>
      <xdr:col>12</xdr:col>
      <xdr:colOff>514350</xdr:colOff>
      <xdr:row>253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41709975"/>
          <a:ext cx="936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28575</xdr:colOff>
      <xdr:row>269</xdr:row>
      <xdr:rowOff>0</xdr:rowOff>
    </xdr:from>
    <xdr:to>
      <xdr:col>13</xdr:col>
      <xdr:colOff>19050</xdr:colOff>
      <xdr:row>269</xdr:row>
      <xdr:rowOff>0</xdr:rowOff>
    </xdr:to>
    <xdr:sp>
      <xdr:nvSpPr>
        <xdr:cNvPr id="14" name="Line 15"/>
        <xdr:cNvSpPr>
          <a:spLocks/>
        </xdr:cNvSpPr>
      </xdr:nvSpPr>
      <xdr:spPr>
        <a:xfrm>
          <a:off x="28575" y="44386500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13</xdr:col>
      <xdr:colOff>0</xdr:colOff>
      <xdr:row>294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0" y="48434625"/>
          <a:ext cx="938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47625</xdr:colOff>
      <xdr:row>310</xdr:row>
      <xdr:rowOff>161925</xdr:rowOff>
    </xdr:from>
    <xdr:to>
      <xdr:col>13</xdr:col>
      <xdr:colOff>0</xdr:colOff>
      <xdr:row>310</xdr:row>
      <xdr:rowOff>161925</xdr:rowOff>
    </xdr:to>
    <xdr:sp>
      <xdr:nvSpPr>
        <xdr:cNvPr id="16" name="Line 18"/>
        <xdr:cNvSpPr>
          <a:spLocks/>
        </xdr:cNvSpPr>
      </xdr:nvSpPr>
      <xdr:spPr>
        <a:xfrm>
          <a:off x="47625" y="51263550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331</xdr:row>
      <xdr:rowOff>0</xdr:rowOff>
    </xdr:from>
    <xdr:to>
      <xdr:col>12</xdr:col>
      <xdr:colOff>514350</xdr:colOff>
      <xdr:row>331</xdr:row>
      <xdr:rowOff>9525</xdr:rowOff>
    </xdr:to>
    <xdr:sp>
      <xdr:nvSpPr>
        <xdr:cNvPr id="17" name="Line 19"/>
        <xdr:cNvSpPr>
          <a:spLocks/>
        </xdr:cNvSpPr>
      </xdr:nvSpPr>
      <xdr:spPr>
        <a:xfrm flipH="1">
          <a:off x="0" y="54511575"/>
          <a:ext cx="93726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342</xdr:row>
      <xdr:rowOff>95250</xdr:rowOff>
    </xdr:from>
    <xdr:to>
      <xdr:col>4</xdr:col>
      <xdr:colOff>933450</xdr:colOff>
      <xdr:row>342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2038350" y="56454675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344</xdr:row>
      <xdr:rowOff>76200</xdr:rowOff>
    </xdr:from>
    <xdr:to>
      <xdr:col>5</xdr:col>
      <xdr:colOff>9525</xdr:colOff>
      <xdr:row>344</xdr:row>
      <xdr:rowOff>76200</xdr:rowOff>
    </xdr:to>
    <xdr:sp>
      <xdr:nvSpPr>
        <xdr:cNvPr id="19" name="Line 21"/>
        <xdr:cNvSpPr>
          <a:spLocks/>
        </xdr:cNvSpPr>
      </xdr:nvSpPr>
      <xdr:spPr>
        <a:xfrm>
          <a:off x="2038350" y="56759475"/>
          <a:ext cx="184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582</xdr:row>
      <xdr:rowOff>152400</xdr:rowOff>
    </xdr:from>
    <xdr:to>
      <xdr:col>12</xdr:col>
      <xdr:colOff>504825</xdr:colOff>
      <xdr:row>582</xdr:row>
      <xdr:rowOff>152400</xdr:rowOff>
    </xdr:to>
    <xdr:sp>
      <xdr:nvSpPr>
        <xdr:cNvPr id="20" name="Line 22"/>
        <xdr:cNvSpPr>
          <a:spLocks/>
        </xdr:cNvSpPr>
      </xdr:nvSpPr>
      <xdr:spPr>
        <a:xfrm flipV="1">
          <a:off x="0" y="96002475"/>
          <a:ext cx="936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19050</xdr:colOff>
      <xdr:row>638</xdr:row>
      <xdr:rowOff>9525</xdr:rowOff>
    </xdr:from>
    <xdr:to>
      <xdr:col>12</xdr:col>
      <xdr:colOff>9525</xdr:colOff>
      <xdr:row>638</xdr:row>
      <xdr:rowOff>9525</xdr:rowOff>
    </xdr:to>
    <xdr:sp>
      <xdr:nvSpPr>
        <xdr:cNvPr id="21" name="Line 23"/>
        <xdr:cNvSpPr>
          <a:spLocks/>
        </xdr:cNvSpPr>
      </xdr:nvSpPr>
      <xdr:spPr>
        <a:xfrm>
          <a:off x="19050" y="105136950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150</xdr:row>
      <xdr:rowOff>152400</xdr:rowOff>
    </xdr:from>
    <xdr:to>
      <xdr:col>12</xdr:col>
      <xdr:colOff>514350</xdr:colOff>
      <xdr:row>151</xdr:row>
      <xdr:rowOff>0</xdr:rowOff>
    </xdr:to>
    <xdr:sp>
      <xdr:nvSpPr>
        <xdr:cNvPr id="22" name="Line 24"/>
        <xdr:cNvSpPr>
          <a:spLocks/>
        </xdr:cNvSpPr>
      </xdr:nvSpPr>
      <xdr:spPr>
        <a:xfrm flipV="1">
          <a:off x="6353175" y="24869775"/>
          <a:ext cx="30194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609</xdr:row>
      <xdr:rowOff>0</xdr:rowOff>
    </xdr:from>
    <xdr:to>
      <xdr:col>13</xdr:col>
      <xdr:colOff>9525</xdr:colOff>
      <xdr:row>609</xdr:row>
      <xdr:rowOff>0</xdr:rowOff>
    </xdr:to>
    <xdr:sp>
      <xdr:nvSpPr>
        <xdr:cNvPr id="23" name="Line 25"/>
        <xdr:cNvSpPr>
          <a:spLocks/>
        </xdr:cNvSpPr>
      </xdr:nvSpPr>
      <xdr:spPr>
        <a:xfrm>
          <a:off x="5686425" y="100307775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3"/>
  <sheetViews>
    <sheetView tabSelected="1" workbookViewId="0" topLeftCell="A1">
      <selection activeCell="A6" sqref="A6:IV6"/>
    </sheetView>
  </sheetViews>
  <sheetFormatPr defaultColWidth="11.00390625" defaultRowHeight="12.75"/>
  <cols>
    <col min="1" max="1" width="3.875" style="0" customWidth="1"/>
    <col min="2" max="2" width="15.625" style="0" customWidth="1"/>
    <col min="3" max="3" width="7.125" style="0" customWidth="1"/>
    <col min="4" max="4" width="11.875" style="0" customWidth="1"/>
    <col min="5" max="5" width="12.375" style="0" customWidth="1"/>
    <col min="6" max="6" width="7.00390625" style="0" customWidth="1"/>
    <col min="7" max="7" width="4.125" style="0" customWidth="1"/>
    <col min="8" max="8" width="12.625" style="0" customWidth="1"/>
    <col min="9" max="9" width="8.75390625" style="0" customWidth="1"/>
    <col min="10" max="10" width="11.375" style="0" customWidth="1"/>
    <col min="11" max="11" width="9.125" style="0" customWidth="1"/>
    <col min="12" max="12" width="12.375" style="0" customWidth="1"/>
    <col min="13" max="13" width="6.875" style="0" customWidth="1"/>
    <col min="14" max="16384" width="12.375" style="0" customWidth="1"/>
  </cols>
  <sheetData>
    <row r="1" spans="1:5" s="1" customFormat="1" ht="18">
      <c r="A1" s="1" t="s">
        <v>185</v>
      </c>
      <c r="E1" s="1" t="s">
        <v>186</v>
      </c>
    </row>
    <row r="2" ht="12.75">
      <c r="E2" t="s">
        <v>187</v>
      </c>
    </row>
    <row r="6" spans="1:5" ht="15.75">
      <c r="A6" s="2" t="s">
        <v>188</v>
      </c>
      <c r="B6" s="2"/>
      <c r="C6" s="2"/>
      <c r="E6" s="2" t="s">
        <v>189</v>
      </c>
    </row>
    <row r="7" ht="12.75">
      <c r="B7" t="s">
        <v>190</v>
      </c>
    </row>
    <row r="9" spans="1:13" ht="13.5">
      <c r="A9" s="5" t="s">
        <v>191</v>
      </c>
      <c r="B9" s="5" t="s">
        <v>192</v>
      </c>
      <c r="C9" s="5" t="s">
        <v>193</v>
      </c>
      <c r="D9" s="5" t="s">
        <v>194</v>
      </c>
      <c r="E9" s="5" t="s">
        <v>195</v>
      </c>
      <c r="F9" s="5" t="s">
        <v>196</v>
      </c>
      <c r="G9" s="5" t="s">
        <v>197</v>
      </c>
      <c r="H9" s="5"/>
      <c r="I9" s="5" t="s">
        <v>198</v>
      </c>
      <c r="J9" s="6" t="s">
        <v>199</v>
      </c>
      <c r="K9" s="6" t="s">
        <v>200</v>
      </c>
      <c r="L9" s="6" t="s">
        <v>201</v>
      </c>
      <c r="M9" s="6" t="s">
        <v>202</v>
      </c>
    </row>
    <row r="10" spans="1:13" ht="12.75">
      <c r="A10" s="3">
        <v>1</v>
      </c>
      <c r="B10" s="3" t="s">
        <v>203</v>
      </c>
      <c r="C10" s="4">
        <v>1913</v>
      </c>
      <c r="D10" s="20">
        <v>4.8049</v>
      </c>
      <c r="E10" s="4">
        <v>0.0022</v>
      </c>
      <c r="F10" s="4" t="s">
        <v>204</v>
      </c>
      <c r="G10" s="4">
        <v>233</v>
      </c>
      <c r="H10" s="4"/>
      <c r="I10" s="4"/>
      <c r="K10" s="3">
        <f aca="true" t="shared" si="0" ref="K10:K32">(D10-$D$33)</f>
        <v>0.0001701304347827559</v>
      </c>
      <c r="L10" s="3">
        <f aca="true" t="shared" si="1" ref="L10:L31">(K10)^2</f>
        <v>2.8944364839369563E-08</v>
      </c>
      <c r="M10" s="4">
        <v>1</v>
      </c>
    </row>
    <row r="11" spans="1:13" ht="12.75">
      <c r="A11" s="3">
        <f aca="true" t="shared" si="2" ref="A11:A32">A10+1</f>
        <v>2</v>
      </c>
      <c r="B11" s="3" t="s">
        <v>205</v>
      </c>
      <c r="C11" s="4">
        <v>1917</v>
      </c>
      <c r="D11" s="20">
        <f>(4.8071+4.8059)/2</f>
        <v>4.8065</v>
      </c>
      <c r="E11" s="4"/>
      <c r="F11" s="4"/>
      <c r="G11" s="4"/>
      <c r="H11" s="4"/>
      <c r="I11" s="4"/>
      <c r="J11" s="3">
        <f aca="true" t="shared" si="3" ref="J11:J32">(D11-D10)^2</f>
        <v>2.559999999999436E-06</v>
      </c>
      <c r="K11" s="3">
        <f t="shared" si="0"/>
        <v>0.0017701304347825797</v>
      </c>
      <c r="L11" s="3">
        <f t="shared" si="1"/>
        <v>3.1333617561435646E-06</v>
      </c>
      <c r="M11" s="4">
        <v>1</v>
      </c>
    </row>
    <row r="12" spans="1:13" ht="12.75">
      <c r="A12" s="3">
        <f t="shared" si="2"/>
        <v>3</v>
      </c>
      <c r="B12" s="3" t="s">
        <v>203</v>
      </c>
      <c r="C12" s="4">
        <v>1920</v>
      </c>
      <c r="D12" s="20">
        <v>4.803</v>
      </c>
      <c r="E12" s="4">
        <v>0.005</v>
      </c>
      <c r="F12" s="4" t="s">
        <v>204</v>
      </c>
      <c r="G12" s="4">
        <v>235</v>
      </c>
      <c r="H12" s="4"/>
      <c r="I12" s="4"/>
      <c r="J12" s="3">
        <f t="shared" si="3"/>
        <v>1.2249999999998856E-05</v>
      </c>
      <c r="K12" s="3">
        <f t="shared" si="0"/>
        <v>-0.0017298695652172569</v>
      </c>
      <c r="L12" s="3">
        <f t="shared" si="1"/>
        <v>2.9924487126649412E-06</v>
      </c>
      <c r="M12" s="4">
        <v>2</v>
      </c>
    </row>
    <row r="13" spans="1:13" ht="12.75">
      <c r="A13" s="3">
        <f t="shared" si="2"/>
        <v>4</v>
      </c>
      <c r="B13" s="3" t="s">
        <v>206</v>
      </c>
      <c r="C13" s="4">
        <v>1928</v>
      </c>
      <c r="D13" s="20">
        <f>(4.7757+4.794)/2</f>
        <v>4.78485</v>
      </c>
      <c r="E13" s="4"/>
      <c r="F13" s="4"/>
      <c r="G13" s="4"/>
      <c r="H13" s="4"/>
      <c r="I13" s="4"/>
      <c r="J13" s="3">
        <f t="shared" si="3"/>
        <v>0.00032942250000001205</v>
      </c>
      <c r="K13" s="3">
        <f t="shared" si="0"/>
        <v>-0.01987986956521759</v>
      </c>
      <c r="L13" s="3">
        <f t="shared" si="1"/>
        <v>0.00039520921393006457</v>
      </c>
      <c r="M13" s="4">
        <v>2</v>
      </c>
    </row>
    <row r="14" spans="1:13" ht="12.75">
      <c r="A14" s="3">
        <f t="shared" si="2"/>
        <v>5</v>
      </c>
      <c r="B14" s="3" t="s">
        <v>207</v>
      </c>
      <c r="C14" s="4">
        <v>1929</v>
      </c>
      <c r="D14" s="20">
        <v>4.801</v>
      </c>
      <c r="E14" s="4">
        <v>0.005</v>
      </c>
      <c r="F14" s="4" t="s">
        <v>208</v>
      </c>
      <c r="G14" s="4">
        <v>238</v>
      </c>
      <c r="H14" s="4"/>
      <c r="I14" s="4"/>
      <c r="J14" s="3">
        <f t="shared" si="3"/>
        <v>0.00026082250000001786</v>
      </c>
      <c r="K14" s="3">
        <f t="shared" si="0"/>
        <v>-0.0037298695652170366</v>
      </c>
      <c r="L14" s="3">
        <f t="shared" si="1"/>
        <v>1.3911926973532326E-05</v>
      </c>
      <c r="M14" s="4">
        <v>2</v>
      </c>
    </row>
    <row r="15" spans="1:13" ht="12.75">
      <c r="A15" s="3">
        <f t="shared" si="2"/>
        <v>6</v>
      </c>
      <c r="B15" s="3" t="s">
        <v>209</v>
      </c>
      <c r="C15" s="4">
        <v>1931</v>
      </c>
      <c r="D15" s="20">
        <v>4.8022</v>
      </c>
      <c r="E15" s="4" t="s">
        <v>210</v>
      </c>
      <c r="F15" s="4" t="s">
        <v>211</v>
      </c>
      <c r="G15" s="4">
        <v>239</v>
      </c>
      <c r="H15" s="4"/>
      <c r="I15" s="4"/>
      <c r="J15" s="3">
        <f t="shared" si="3"/>
        <v>1.4399999999996828E-06</v>
      </c>
      <c r="K15" s="3">
        <f t="shared" si="0"/>
        <v>-0.0025298695652171688</v>
      </c>
      <c r="L15" s="3">
        <f t="shared" si="1"/>
        <v>6.400240017012107E-06</v>
      </c>
      <c r="M15" s="4">
        <v>2</v>
      </c>
    </row>
    <row r="16" spans="1:13" ht="12.75">
      <c r="A16" s="3">
        <f t="shared" si="2"/>
        <v>7</v>
      </c>
      <c r="B16" s="3" t="s">
        <v>212</v>
      </c>
      <c r="C16" s="4">
        <v>1935</v>
      </c>
      <c r="D16" s="20">
        <f>(4.8022+4.8016+4.8036)/3</f>
        <v>4.802466666666667</v>
      </c>
      <c r="E16" s="4"/>
      <c r="F16" s="4"/>
      <c r="G16" s="4"/>
      <c r="H16" s="4"/>
      <c r="I16" s="4"/>
      <c r="J16" s="3">
        <f t="shared" si="3"/>
        <v>7.111111111109545E-08</v>
      </c>
      <c r="K16" s="3">
        <f t="shared" si="0"/>
        <v>-0.0022632028985505315</v>
      </c>
      <c r="L16" s="3">
        <f t="shared" si="1"/>
        <v>5.122087360007527E-06</v>
      </c>
      <c r="M16" s="4">
        <v>2</v>
      </c>
    </row>
    <row r="17" spans="1:13" ht="12.75">
      <c r="A17" s="3">
        <f t="shared" si="2"/>
        <v>8</v>
      </c>
      <c r="B17" s="3" t="s">
        <v>213</v>
      </c>
      <c r="C17" s="4">
        <v>1936</v>
      </c>
      <c r="D17" s="20">
        <f>(4.799+4.8029+4.805+4.7909)/4</f>
        <v>4.79945</v>
      </c>
      <c r="E17" s="4"/>
      <c r="F17" s="4"/>
      <c r="G17" s="4"/>
      <c r="H17" s="4"/>
      <c r="I17" s="4"/>
      <c r="J17" s="3">
        <f t="shared" si="3"/>
        <v>9.100277777776444E-06</v>
      </c>
      <c r="K17" s="3">
        <f t="shared" si="0"/>
        <v>-0.005279869565216977</v>
      </c>
      <c r="L17" s="3">
        <f t="shared" si="1"/>
        <v>2.787702262570451E-05</v>
      </c>
      <c r="M17" s="4">
        <v>2</v>
      </c>
    </row>
    <row r="18" spans="1:13" ht="12.75">
      <c r="A18" s="3">
        <f t="shared" si="2"/>
        <v>9</v>
      </c>
      <c r="B18" s="3" t="s">
        <v>214</v>
      </c>
      <c r="C18" s="4">
        <v>1937</v>
      </c>
      <c r="D18" s="20">
        <v>4.8453</v>
      </c>
      <c r="E18" s="4">
        <v>0.003</v>
      </c>
      <c r="F18" s="4" t="s">
        <v>204</v>
      </c>
      <c r="G18" s="4">
        <v>247</v>
      </c>
      <c r="H18" s="4"/>
      <c r="I18" s="4" t="s">
        <v>215</v>
      </c>
      <c r="J18" s="3">
        <f t="shared" si="3"/>
        <v>0.0021022224999999745</v>
      </c>
      <c r="K18" s="3">
        <f t="shared" si="0"/>
        <v>0.04057013043478275</v>
      </c>
      <c r="L18" s="3">
        <f t="shared" si="1"/>
        <v>0.0016459354834952853</v>
      </c>
      <c r="M18" s="4">
        <v>3</v>
      </c>
    </row>
    <row r="19" spans="1:13" ht="12.75">
      <c r="A19" s="3">
        <f t="shared" si="2"/>
        <v>10</v>
      </c>
      <c r="B19" s="3" t="s">
        <v>216</v>
      </c>
      <c r="C19" s="4">
        <v>1938</v>
      </c>
      <c r="D19" s="20">
        <f>(4.8015+4.8036+4.803)/3</f>
        <v>4.802700000000001</v>
      </c>
      <c r="E19" s="4"/>
      <c r="F19" s="4"/>
      <c r="G19" s="4"/>
      <c r="H19" s="4"/>
      <c r="I19" s="4"/>
      <c r="J19" s="3">
        <f t="shared" si="3"/>
        <v>0.0018147599999999407</v>
      </c>
      <c r="K19" s="3">
        <f t="shared" si="0"/>
        <v>-0.0020298695652165577</v>
      </c>
      <c r="L19" s="3">
        <f t="shared" si="1"/>
        <v>4.120370451792457E-06</v>
      </c>
      <c r="M19" s="4">
        <v>4</v>
      </c>
    </row>
    <row r="20" spans="1:13" ht="12.75">
      <c r="A20" s="3">
        <f t="shared" si="2"/>
        <v>11</v>
      </c>
      <c r="B20" s="3" t="s">
        <v>217</v>
      </c>
      <c r="C20" s="4">
        <v>1939</v>
      </c>
      <c r="D20" s="20">
        <f>(4.8022+4.801+4.8005)/3</f>
        <v>4.801233333333333</v>
      </c>
      <c r="E20" s="4"/>
      <c r="F20" s="4"/>
      <c r="G20" s="4"/>
      <c r="H20" s="4"/>
      <c r="I20" s="4"/>
      <c r="J20" s="3">
        <f t="shared" si="3"/>
        <v>2.1511111111132426E-06</v>
      </c>
      <c r="K20" s="3">
        <f t="shared" si="0"/>
        <v>-0.003496536231883951</v>
      </c>
      <c r="L20" s="3">
        <f t="shared" si="1"/>
        <v>1.2225765620877219E-05</v>
      </c>
      <c r="M20" s="4">
        <v>4</v>
      </c>
    </row>
    <row r="21" spans="1:13" ht="12.75">
      <c r="A21" s="3">
        <f t="shared" si="2"/>
        <v>12</v>
      </c>
      <c r="B21" s="3" t="s">
        <v>218</v>
      </c>
      <c r="C21" s="4">
        <v>1940</v>
      </c>
      <c r="D21" s="20">
        <v>4.8065</v>
      </c>
      <c r="E21" s="4" t="s">
        <v>210</v>
      </c>
      <c r="F21" s="4" t="s">
        <v>208</v>
      </c>
      <c r="G21" s="4">
        <v>251</v>
      </c>
      <c r="H21" s="4"/>
      <c r="I21" s="4"/>
      <c r="J21" s="3">
        <f t="shared" si="3"/>
        <v>2.7737777777776346E-05</v>
      </c>
      <c r="K21" s="3">
        <f t="shared" si="0"/>
        <v>0.0017701304347825797</v>
      </c>
      <c r="L21" s="3">
        <f t="shared" si="1"/>
        <v>3.1333617561435646E-06</v>
      </c>
      <c r="M21" s="4">
        <v>5</v>
      </c>
    </row>
    <row r="22" spans="1:13" ht="12.75">
      <c r="A22" s="3">
        <f t="shared" si="2"/>
        <v>13</v>
      </c>
      <c r="B22" s="3" t="s">
        <v>219</v>
      </c>
      <c r="C22" s="4">
        <v>1940</v>
      </c>
      <c r="D22" s="20">
        <v>4.8137</v>
      </c>
      <c r="E22" s="4">
        <v>0.003</v>
      </c>
      <c r="F22" s="4" t="s">
        <v>204</v>
      </c>
      <c r="G22" s="4">
        <v>253</v>
      </c>
      <c r="H22" s="4"/>
      <c r="I22" s="4"/>
      <c r="J22" s="3">
        <f t="shared" si="3"/>
        <v>5.1840000000001374E-05</v>
      </c>
      <c r="K22" s="3">
        <f t="shared" si="0"/>
        <v>0.008970130434782675</v>
      </c>
      <c r="L22" s="3">
        <f t="shared" si="1"/>
        <v>8.046324001701442E-05</v>
      </c>
      <c r="M22" s="4">
        <v>5</v>
      </c>
    </row>
    <row r="23" spans="1:13" ht="12.75">
      <c r="A23" s="3">
        <f t="shared" si="2"/>
        <v>14</v>
      </c>
      <c r="B23" s="3" t="s">
        <v>220</v>
      </c>
      <c r="C23" s="4">
        <v>1940</v>
      </c>
      <c r="D23" s="20">
        <f>(4.8065+4.8137)/2</f>
        <v>4.8101</v>
      </c>
      <c r="E23" s="4"/>
      <c r="F23" s="4"/>
      <c r="G23" s="4"/>
      <c r="H23" s="4"/>
      <c r="I23" s="4"/>
      <c r="J23" s="3">
        <f t="shared" si="3"/>
        <v>1.2959999999997145E-05</v>
      </c>
      <c r="K23" s="3">
        <f t="shared" si="0"/>
        <v>0.005370130434783071</v>
      </c>
      <c r="L23" s="3">
        <f t="shared" si="1"/>
        <v>2.883830088658342E-05</v>
      </c>
      <c r="M23" s="4">
        <v>5</v>
      </c>
    </row>
    <row r="24" spans="1:13" ht="12.75">
      <c r="A24" s="3">
        <f t="shared" si="2"/>
        <v>15</v>
      </c>
      <c r="B24" s="3" t="s">
        <v>221</v>
      </c>
      <c r="C24" s="4">
        <v>1944</v>
      </c>
      <c r="D24" s="20">
        <f>(4.803+4.8021)/2</f>
        <v>4.80255</v>
      </c>
      <c r="E24" s="4"/>
      <c r="F24" s="4"/>
      <c r="G24" s="4"/>
      <c r="H24" s="4"/>
      <c r="I24" s="4"/>
      <c r="J24" s="3">
        <f t="shared" si="3"/>
        <v>5.700250000000253E-05</v>
      </c>
      <c r="K24" s="3">
        <f t="shared" si="0"/>
        <v>-0.0021798695652170963</v>
      </c>
      <c r="L24" s="3">
        <f t="shared" si="1"/>
        <v>4.7518313213597726E-06</v>
      </c>
      <c r="M24" s="4">
        <v>6</v>
      </c>
    </row>
    <row r="25" spans="1:13" ht="12.75">
      <c r="A25" s="3">
        <f t="shared" si="2"/>
        <v>16</v>
      </c>
      <c r="B25" s="3" t="s">
        <v>222</v>
      </c>
      <c r="C25" s="4">
        <v>1947</v>
      </c>
      <c r="D25" s="20">
        <f>(4.80193+4.8024)/2</f>
        <v>4.802165</v>
      </c>
      <c r="E25" s="4"/>
      <c r="F25" s="4"/>
      <c r="G25" s="4"/>
      <c r="H25" s="4"/>
      <c r="I25" s="4"/>
      <c r="J25" s="3">
        <f t="shared" si="3"/>
        <v>1.4822500000040334E-07</v>
      </c>
      <c r="K25" s="3">
        <f t="shared" si="0"/>
        <v>-0.00256486956521762</v>
      </c>
      <c r="L25" s="3">
        <f t="shared" si="1"/>
        <v>6.578555886579623E-06</v>
      </c>
      <c r="M25" s="4">
        <v>6</v>
      </c>
    </row>
    <row r="26" spans="1:13" ht="12.75">
      <c r="A26" s="3">
        <f t="shared" si="2"/>
        <v>17</v>
      </c>
      <c r="B26" s="3" t="s">
        <v>223</v>
      </c>
      <c r="C26" s="4">
        <v>1950</v>
      </c>
      <c r="D26" s="20">
        <v>4.80217</v>
      </c>
      <c r="E26" s="4">
        <v>6E-06</v>
      </c>
      <c r="F26" s="4" t="s">
        <v>208</v>
      </c>
      <c r="G26" s="4">
        <v>258</v>
      </c>
      <c r="H26" s="4"/>
      <c r="I26" s="4"/>
      <c r="J26" s="3">
        <f t="shared" si="3"/>
        <v>2.5000000006988898E-11</v>
      </c>
      <c r="K26" s="3">
        <f t="shared" si="0"/>
        <v>-0.002559869565216921</v>
      </c>
      <c r="L26" s="3">
        <f t="shared" si="1"/>
        <v>6.5529321909238695E-06</v>
      </c>
      <c r="M26" s="4">
        <v>6</v>
      </c>
    </row>
    <row r="27" spans="1:13" ht="12.75">
      <c r="A27" s="3">
        <f t="shared" si="2"/>
        <v>18</v>
      </c>
      <c r="B27" s="3" t="s">
        <v>224</v>
      </c>
      <c r="C27" s="4">
        <v>1952</v>
      </c>
      <c r="D27" s="20">
        <f>(4.8022+4.80288)/2</f>
        <v>4.8025400000000005</v>
      </c>
      <c r="E27" s="4"/>
      <c r="F27" s="4"/>
      <c r="G27" s="4"/>
      <c r="H27" s="4"/>
      <c r="I27" s="4"/>
      <c r="J27" s="3">
        <f t="shared" si="3"/>
        <v>1.369000000001506E-07</v>
      </c>
      <c r="K27" s="3">
        <f t="shared" si="0"/>
        <v>-0.0021898695652167177</v>
      </c>
      <c r="L27" s="3">
        <f t="shared" si="1"/>
        <v>4.795528712662456E-06</v>
      </c>
      <c r="M27" s="4">
        <v>6</v>
      </c>
    </row>
    <row r="28" spans="1:13" ht="12.75">
      <c r="A28" s="3">
        <f t="shared" si="2"/>
        <v>19</v>
      </c>
      <c r="B28" s="3" t="s">
        <v>225</v>
      </c>
      <c r="C28" s="4">
        <v>1955</v>
      </c>
      <c r="D28" s="20">
        <v>4.80286</v>
      </c>
      <c r="E28" s="4">
        <v>9E-05</v>
      </c>
      <c r="F28" s="4" t="s">
        <v>208</v>
      </c>
      <c r="G28" s="4">
        <v>260</v>
      </c>
      <c r="H28" s="4"/>
      <c r="I28" s="4"/>
      <c r="J28" s="3">
        <f t="shared" si="3"/>
        <v>1.0239999999963639E-07</v>
      </c>
      <c r="K28" s="3">
        <f t="shared" si="0"/>
        <v>-0.0018698695652172859</v>
      </c>
      <c r="L28" s="3">
        <f t="shared" si="1"/>
        <v>3.4964121909258816E-06</v>
      </c>
      <c r="M28" s="4">
        <v>6</v>
      </c>
    </row>
    <row r="29" spans="1:13" ht="12.75">
      <c r="A29" s="3">
        <f t="shared" si="2"/>
        <v>20</v>
      </c>
      <c r="B29" s="3" t="s">
        <v>226</v>
      </c>
      <c r="C29" s="4">
        <v>1963</v>
      </c>
      <c r="D29" s="20">
        <v>4.80298</v>
      </c>
      <c r="E29" s="4">
        <v>0.0002</v>
      </c>
      <c r="F29" s="4" t="s">
        <v>208</v>
      </c>
      <c r="G29" s="4">
        <v>261</v>
      </c>
      <c r="H29" s="4"/>
      <c r="I29" s="4"/>
      <c r="J29" s="3">
        <f t="shared" si="3"/>
        <v>1.4399999999975512E-08</v>
      </c>
      <c r="K29" s="3">
        <f t="shared" si="0"/>
        <v>-0.001749869565217388</v>
      </c>
      <c r="L29" s="3">
        <f t="shared" si="1"/>
        <v>3.06204349527409E-06</v>
      </c>
      <c r="M29" s="4">
        <v>6</v>
      </c>
    </row>
    <row r="30" spans="1:13" ht="12.75">
      <c r="A30" s="3">
        <f t="shared" si="2"/>
        <v>21</v>
      </c>
      <c r="B30" s="3" t="s">
        <v>226</v>
      </c>
      <c r="C30" s="4">
        <v>1965</v>
      </c>
      <c r="D30" s="20">
        <v>4.80313</v>
      </c>
      <c r="E30" s="4">
        <v>0.00014</v>
      </c>
      <c r="F30" s="4" t="s">
        <v>208</v>
      </c>
      <c r="G30" s="4">
        <v>262</v>
      </c>
      <c r="H30" s="4"/>
      <c r="I30" s="4"/>
      <c r="J30" s="3">
        <f t="shared" si="3"/>
        <v>2.2500000000161578E-08</v>
      </c>
      <c r="K30" s="3">
        <f t="shared" si="0"/>
        <v>-0.0015998695652168493</v>
      </c>
      <c r="L30" s="3">
        <f t="shared" si="1"/>
        <v>2.5595826257071505E-06</v>
      </c>
      <c r="M30" s="4">
        <v>6</v>
      </c>
    </row>
    <row r="31" spans="1:13" ht="12.75">
      <c r="A31" s="3">
        <f t="shared" si="2"/>
        <v>22</v>
      </c>
      <c r="B31" s="3" t="s">
        <v>227</v>
      </c>
      <c r="C31" s="4">
        <v>1969</v>
      </c>
      <c r="D31" s="20">
        <v>4.80325</v>
      </c>
      <c r="E31" s="4">
        <v>2.1E-06</v>
      </c>
      <c r="F31" s="4" t="s">
        <v>208</v>
      </c>
      <c r="G31" s="4">
        <v>263</v>
      </c>
      <c r="H31" s="4"/>
      <c r="I31" s="4"/>
      <c r="J31" s="3">
        <f t="shared" si="3"/>
        <v>1.4399999999975512E-08</v>
      </c>
      <c r="K31" s="3">
        <f t="shared" si="0"/>
        <v>-0.0014798695652169513</v>
      </c>
      <c r="L31" s="3">
        <f t="shared" si="1"/>
        <v>2.190013930055409E-06</v>
      </c>
      <c r="M31" s="4">
        <v>6</v>
      </c>
    </row>
    <row r="32" spans="1:13" ht="12.75">
      <c r="A32" s="3">
        <f t="shared" si="2"/>
        <v>23</v>
      </c>
      <c r="B32" s="3" t="s">
        <v>228</v>
      </c>
      <c r="C32" s="4">
        <v>1973</v>
      </c>
      <c r="D32" s="20">
        <v>4.803242</v>
      </c>
      <c r="E32" s="4">
        <v>1.4E-06</v>
      </c>
      <c r="F32" s="4" t="s">
        <v>208</v>
      </c>
      <c r="G32" s="4">
        <v>264</v>
      </c>
      <c r="H32" s="4"/>
      <c r="I32" s="4"/>
      <c r="J32" s="3">
        <f t="shared" si="3"/>
        <v>6.400000000368072E-11</v>
      </c>
      <c r="K32" s="3">
        <f t="shared" si="0"/>
        <v>-0.0014878695652171814</v>
      </c>
      <c r="L32" s="3"/>
      <c r="M32" s="4">
        <v>6</v>
      </c>
    </row>
    <row r="33" spans="1:13" ht="12.75">
      <c r="A33" s="3"/>
      <c r="B33" s="3"/>
      <c r="C33" s="11" t="s">
        <v>229</v>
      </c>
      <c r="D33" s="20">
        <f>AVERAGE(D10:D32)</f>
        <v>4.804729869565217</v>
      </c>
      <c r="E33" s="3"/>
      <c r="F33" s="8"/>
      <c r="G33" s="9"/>
      <c r="H33" s="9"/>
      <c r="I33" s="9" t="s">
        <v>230</v>
      </c>
      <c r="J33" s="3">
        <f>SUM(J11:J32)</f>
        <v>0.004684779191777721</v>
      </c>
      <c r="K33" s="3">
        <f>SUM(K10:K32)</f>
        <v>5.329070518200751E-15</v>
      </c>
      <c r="L33" s="4">
        <f>SUM(L10:L32)</f>
        <v>0.002263378668321153</v>
      </c>
      <c r="M33" s="3">
        <v>6</v>
      </c>
    </row>
    <row r="34" spans="1:13" ht="12.75">
      <c r="A34" s="3"/>
      <c r="B34" s="3"/>
      <c r="C34" s="11" t="s">
        <v>231</v>
      </c>
      <c r="D34" s="20">
        <f>STDEV(D10:D32)</f>
        <v>0.010147978805110055</v>
      </c>
      <c r="E34" s="3"/>
      <c r="F34" s="10"/>
      <c r="G34" s="3"/>
      <c r="H34" s="3"/>
      <c r="I34" s="3"/>
      <c r="J34" s="3"/>
      <c r="K34" s="3"/>
      <c r="L34" s="4"/>
      <c r="M34" s="3"/>
    </row>
    <row r="35" spans="1:12" ht="15.75">
      <c r="A35" s="3"/>
      <c r="B35" s="3"/>
      <c r="C35" s="11" t="s">
        <v>232</v>
      </c>
      <c r="D35" s="3">
        <f>VAR(D10:D32)</f>
        <v>0.0001029814738289629</v>
      </c>
      <c r="E35" s="3"/>
      <c r="F35" s="3"/>
      <c r="G35" s="3"/>
      <c r="H35" s="3"/>
      <c r="I35" s="3"/>
      <c r="J35" s="2" t="s">
        <v>233</v>
      </c>
      <c r="L35" s="2" t="s">
        <v>234</v>
      </c>
    </row>
    <row r="36" spans="1:11" ht="13.5">
      <c r="A36" s="11" t="s">
        <v>235</v>
      </c>
      <c r="B36" s="11"/>
      <c r="C36" s="3"/>
      <c r="D36" s="3" t="s">
        <v>236</v>
      </c>
      <c r="E36" s="3"/>
      <c r="F36" s="3"/>
      <c r="G36" s="3"/>
      <c r="H36" s="3"/>
      <c r="I36" s="3"/>
      <c r="J36" s="6" t="s">
        <v>237</v>
      </c>
      <c r="K36" s="19">
        <f>J33/L33</f>
        <v>2.0698167997017602</v>
      </c>
    </row>
    <row r="37" spans="1:11" ht="13.5">
      <c r="A37" s="3" t="s">
        <v>204</v>
      </c>
      <c r="B37" s="3" t="s">
        <v>238</v>
      </c>
      <c r="C37" s="11"/>
      <c r="D37" s="3"/>
      <c r="E37" s="3"/>
      <c r="F37" s="11"/>
      <c r="G37" s="11"/>
      <c r="H37" s="11"/>
      <c r="I37" s="11"/>
      <c r="J37" s="6" t="s">
        <v>239</v>
      </c>
      <c r="K37" s="19">
        <f>(M32-(K44+1))/K45</f>
        <v>-2.7744769898645374</v>
      </c>
    </row>
    <row r="38" spans="1:11" ht="13.5">
      <c r="A38" s="3" t="s">
        <v>240</v>
      </c>
      <c r="B38" s="3" t="s">
        <v>12</v>
      </c>
      <c r="C38" s="11"/>
      <c r="D38" s="3" t="s">
        <v>13</v>
      </c>
      <c r="E38" s="3"/>
      <c r="F38" s="3"/>
      <c r="G38" s="3"/>
      <c r="H38" s="3"/>
      <c r="I38" s="3"/>
      <c r="J38" s="6" t="s">
        <v>14</v>
      </c>
      <c r="K38" s="19">
        <f>((K39)*(K41))/K42</f>
        <v>0.687696238953725</v>
      </c>
    </row>
    <row r="39" spans="1:11" ht="12.75">
      <c r="A39" s="3" t="s">
        <v>211</v>
      </c>
      <c r="B39" s="3" t="s">
        <v>15</v>
      </c>
      <c r="C39" s="3"/>
      <c r="D39" s="11"/>
      <c r="E39" s="3"/>
      <c r="F39" s="3"/>
      <c r="G39" s="3"/>
      <c r="H39" s="3"/>
      <c r="I39" s="3"/>
      <c r="J39" t="s">
        <v>16</v>
      </c>
      <c r="K39">
        <f>D33-D32</f>
        <v>0.0014878695652171814</v>
      </c>
    </row>
    <row r="40" spans="1:11" ht="12.75">
      <c r="A40" s="3" t="s">
        <v>17</v>
      </c>
      <c r="B40" s="3" t="s">
        <v>18</v>
      </c>
      <c r="C40" s="3"/>
      <c r="D40" s="3" t="s">
        <v>19</v>
      </c>
      <c r="E40" s="3"/>
      <c r="F40" s="3"/>
      <c r="G40" s="3"/>
      <c r="H40" s="3"/>
      <c r="I40" s="3"/>
      <c r="J40" t="s">
        <v>20</v>
      </c>
      <c r="K40">
        <f>A32</f>
        <v>23</v>
      </c>
    </row>
    <row r="41" spans="1:11" ht="12.75">
      <c r="A41" s="3" t="s">
        <v>21</v>
      </c>
      <c r="B41" s="3" t="s">
        <v>22</v>
      </c>
      <c r="C41" s="3"/>
      <c r="D41" s="3"/>
      <c r="E41" s="3"/>
      <c r="F41" s="3"/>
      <c r="G41" s="3"/>
      <c r="H41" s="3"/>
      <c r="I41" s="3"/>
      <c r="J41" t="s">
        <v>23</v>
      </c>
      <c r="K41">
        <f>(K40-1)^0.5</f>
        <v>4.69041575982343</v>
      </c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t="s">
        <v>231</v>
      </c>
      <c r="K42">
        <f>D34</f>
        <v>0.010147978805110055</v>
      </c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t="s">
        <v>24</v>
      </c>
      <c r="K43">
        <f>A32</f>
        <v>23</v>
      </c>
    </row>
    <row r="44" spans="1:11" ht="12.75">
      <c r="A44" s="3"/>
      <c r="B44" s="3"/>
      <c r="C44" s="11"/>
      <c r="D44" s="3"/>
      <c r="E44" s="3"/>
      <c r="F44" s="3"/>
      <c r="G44" s="3"/>
      <c r="H44" s="3"/>
      <c r="I44" s="3"/>
      <c r="J44" t="s">
        <v>25</v>
      </c>
      <c r="K44">
        <f>K43/2</f>
        <v>11.5</v>
      </c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t="s">
        <v>26</v>
      </c>
      <c r="K45">
        <f>((K44*(K44-1))/(K43-1))^0.5</f>
        <v>2.342783891791209</v>
      </c>
    </row>
    <row r="46" spans="1:9" ht="15.75">
      <c r="A46" s="3"/>
      <c r="B46" s="6" t="s">
        <v>27</v>
      </c>
      <c r="C46" s="3"/>
      <c r="D46" s="2" t="s">
        <v>189</v>
      </c>
      <c r="E46" s="3"/>
      <c r="F46" s="3"/>
      <c r="G46" s="3"/>
      <c r="H46" s="3"/>
      <c r="I46" s="3"/>
    </row>
    <row r="47" spans="1:9" ht="12.75">
      <c r="A47" s="3"/>
      <c r="B47" s="3" t="s">
        <v>28</v>
      </c>
      <c r="C47" s="3"/>
      <c r="D47" s="3"/>
      <c r="E47" s="3"/>
      <c r="F47" s="3"/>
      <c r="G47" s="3"/>
      <c r="H47" s="3"/>
      <c r="I47" s="3"/>
    </row>
    <row r="48" spans="1:13" ht="12.75">
      <c r="A48" s="3"/>
      <c r="B48" s="3"/>
      <c r="C48" s="11"/>
      <c r="D48" s="3"/>
      <c r="E48" s="3"/>
      <c r="F48" s="3"/>
      <c r="G48" s="3"/>
      <c r="H48" s="3"/>
      <c r="I48" s="3"/>
      <c r="J48" s="3"/>
      <c r="K48" s="3"/>
      <c r="L48" s="4"/>
      <c r="M48" s="4"/>
    </row>
    <row r="49" spans="1:13" ht="13.5">
      <c r="A49" s="12" t="s">
        <v>191</v>
      </c>
      <c r="B49" s="5" t="s">
        <v>192</v>
      </c>
      <c r="C49" s="5" t="s">
        <v>193</v>
      </c>
      <c r="D49" s="5" t="s">
        <v>29</v>
      </c>
      <c r="E49" s="5" t="s">
        <v>195</v>
      </c>
      <c r="F49" s="5" t="s">
        <v>30</v>
      </c>
      <c r="G49" s="5" t="s">
        <v>197</v>
      </c>
      <c r="H49" s="5"/>
      <c r="I49" s="5"/>
      <c r="J49" s="5" t="s">
        <v>199</v>
      </c>
      <c r="K49" s="5" t="s">
        <v>200</v>
      </c>
      <c r="L49" s="5" t="s">
        <v>201</v>
      </c>
      <c r="M49" s="5" t="s">
        <v>202</v>
      </c>
    </row>
    <row r="50" spans="1:13" ht="12.75">
      <c r="A50" s="3">
        <v>1</v>
      </c>
      <c r="B50" s="3" t="s">
        <v>31</v>
      </c>
      <c r="C50" s="4">
        <v>1900</v>
      </c>
      <c r="D50" s="15">
        <v>1.7591</v>
      </c>
      <c r="E50" s="3">
        <v>0.0005</v>
      </c>
      <c r="F50" s="4" t="s">
        <v>32</v>
      </c>
      <c r="G50" s="3"/>
      <c r="H50" s="3"/>
      <c r="I50" s="3"/>
      <c r="J50" s="3"/>
      <c r="K50" s="3">
        <f aca="true" t="shared" si="4" ref="K50:K73">(D50-$D$74)</f>
        <v>-0.0009628958333329773</v>
      </c>
      <c r="L50" s="3">
        <f aca="true" t="shared" si="5" ref="L50:L72">(K50)^2</f>
        <v>9.271683858500089E-07</v>
      </c>
      <c r="M50" s="4">
        <v>1</v>
      </c>
    </row>
    <row r="51" spans="1:13" ht="12.75">
      <c r="A51" s="3">
        <f aca="true" t="shared" si="6" ref="A51:A73">A50+1</f>
        <v>2</v>
      </c>
      <c r="B51" s="3" t="s">
        <v>33</v>
      </c>
      <c r="C51" s="4">
        <v>1910</v>
      </c>
      <c r="D51" s="15">
        <v>1.76</v>
      </c>
      <c r="E51" s="3">
        <v>0.02</v>
      </c>
      <c r="F51" s="4" t="s">
        <v>34</v>
      </c>
      <c r="G51" s="3"/>
      <c r="H51" s="3"/>
      <c r="I51" s="3"/>
      <c r="J51" s="3">
        <f aca="true" t="shared" si="7" ref="J51:J73">(D50-D51)^2</f>
        <v>8.099999999998216E-07</v>
      </c>
      <c r="K51" s="3">
        <f t="shared" si="4"/>
        <v>-6.289583333307647E-05</v>
      </c>
      <c r="L51" s="3">
        <f t="shared" si="5"/>
        <v>3.955885850662133E-09</v>
      </c>
      <c r="M51" s="4">
        <v>1</v>
      </c>
    </row>
    <row r="52" spans="1:13" ht="12.75">
      <c r="A52" s="3">
        <f t="shared" si="6"/>
        <v>3</v>
      </c>
      <c r="B52" s="3" t="s">
        <v>35</v>
      </c>
      <c r="C52" s="4">
        <v>1916</v>
      </c>
      <c r="D52" s="15">
        <v>1.768</v>
      </c>
      <c r="E52" s="3">
        <v>0.003</v>
      </c>
      <c r="F52" s="4" t="s">
        <v>36</v>
      </c>
      <c r="G52" s="3"/>
      <c r="H52" s="3"/>
      <c r="I52" s="3"/>
      <c r="J52" s="3">
        <f t="shared" si="7"/>
        <v>6.400000000000012E-05</v>
      </c>
      <c r="K52" s="3">
        <f t="shared" si="4"/>
        <v>0.00793710416666693</v>
      </c>
      <c r="L52" s="3">
        <f t="shared" si="5"/>
        <v>6.299762255252156E-05</v>
      </c>
      <c r="M52" s="4">
        <v>2</v>
      </c>
    </row>
    <row r="53" spans="1:13" ht="12.75">
      <c r="A53" s="3">
        <f t="shared" si="6"/>
        <v>4</v>
      </c>
      <c r="B53" s="3" t="s">
        <v>37</v>
      </c>
      <c r="C53" s="4">
        <v>1923</v>
      </c>
      <c r="D53" s="15">
        <v>1.761</v>
      </c>
      <c r="E53" s="3">
        <v>0.001</v>
      </c>
      <c r="F53" s="4" t="s">
        <v>38</v>
      </c>
      <c r="G53" s="3"/>
      <c r="H53" s="3"/>
      <c r="I53" s="3"/>
      <c r="J53" s="3">
        <f t="shared" si="7"/>
        <v>4.900000000000164E-05</v>
      </c>
      <c r="K53" s="3">
        <f t="shared" si="4"/>
        <v>0.0009371041666668134</v>
      </c>
      <c r="L53" s="3">
        <f t="shared" si="5"/>
        <v>8.781642191843028E-07</v>
      </c>
      <c r="M53" s="4">
        <v>2</v>
      </c>
    </row>
    <row r="54" spans="1:13" ht="12.75">
      <c r="A54" s="3">
        <f t="shared" si="6"/>
        <v>5</v>
      </c>
      <c r="B54" s="3" t="s">
        <v>39</v>
      </c>
      <c r="C54" s="4">
        <v>1926</v>
      </c>
      <c r="D54" s="15">
        <v>1.766</v>
      </c>
      <c r="E54" s="3" t="s">
        <v>210</v>
      </c>
      <c r="F54" s="4" t="s">
        <v>34</v>
      </c>
      <c r="G54" s="3"/>
      <c r="H54" s="3"/>
      <c r="I54" s="3"/>
      <c r="J54" s="3">
        <f t="shared" si="7"/>
        <v>2.5000000000001153E-05</v>
      </c>
      <c r="K54" s="3">
        <f t="shared" si="4"/>
        <v>0.005937104166666929</v>
      </c>
      <c r="L54" s="3">
        <f t="shared" si="5"/>
        <v>3.524920588585381E-05</v>
      </c>
      <c r="M54" s="4">
        <v>2</v>
      </c>
    </row>
    <row r="55" spans="1:13" ht="12.75">
      <c r="A55" s="3">
        <f t="shared" si="6"/>
        <v>6</v>
      </c>
      <c r="B55" s="3" t="s">
        <v>40</v>
      </c>
      <c r="C55" s="4">
        <v>1927</v>
      </c>
      <c r="D55" s="15">
        <f>(1.769+1.7617)/2</f>
        <v>1.76535</v>
      </c>
      <c r="E55" s="3"/>
      <c r="F55" s="4"/>
      <c r="G55" s="3"/>
      <c r="H55" s="3"/>
      <c r="I55" s="3"/>
      <c r="J55" s="3">
        <f t="shared" si="7"/>
        <v>4.225000000000513E-07</v>
      </c>
      <c r="K55" s="3">
        <f t="shared" si="4"/>
        <v>0.005287104166666889</v>
      </c>
      <c r="L55" s="3">
        <f t="shared" si="5"/>
        <v>2.7953470469186383E-05</v>
      </c>
      <c r="M55" s="4">
        <v>2</v>
      </c>
    </row>
    <row r="56" spans="1:13" ht="12.75">
      <c r="A56" s="3">
        <f t="shared" si="6"/>
        <v>7</v>
      </c>
      <c r="B56" s="3" t="s">
        <v>41</v>
      </c>
      <c r="C56" s="4">
        <v>1929</v>
      </c>
      <c r="D56" s="15">
        <v>1.7606</v>
      </c>
      <c r="E56" s="3">
        <v>0.0012</v>
      </c>
      <c r="F56" s="4" t="s">
        <v>38</v>
      </c>
      <c r="G56" s="3"/>
      <c r="H56" s="3"/>
      <c r="I56" s="3"/>
      <c r="J56" s="3">
        <f t="shared" si="7"/>
        <v>2.2562500000000304E-05</v>
      </c>
      <c r="K56" s="3">
        <f t="shared" si="4"/>
        <v>0.0005371041666668575</v>
      </c>
      <c r="L56" s="3">
        <f t="shared" si="5"/>
        <v>2.8848088585089937E-07</v>
      </c>
      <c r="M56" s="4">
        <v>2</v>
      </c>
    </row>
    <row r="57" spans="1:13" ht="12.75">
      <c r="A57" s="3">
        <f t="shared" si="6"/>
        <v>8</v>
      </c>
      <c r="B57" s="3" t="s">
        <v>42</v>
      </c>
      <c r="C57" s="4">
        <v>1930</v>
      </c>
      <c r="D57" s="15">
        <v>1.7611</v>
      </c>
      <c r="E57" s="3">
        <v>0.001</v>
      </c>
      <c r="F57" s="4" t="s">
        <v>43</v>
      </c>
      <c r="G57" s="3"/>
      <c r="H57" s="3"/>
      <c r="I57" s="3"/>
      <c r="J57" s="3">
        <f t="shared" si="7"/>
        <v>2.5000000000016696E-07</v>
      </c>
      <c r="K57" s="3">
        <f t="shared" si="4"/>
        <v>0.0010371041666670244</v>
      </c>
      <c r="L57" s="3">
        <f t="shared" si="5"/>
        <v>1.0755850525181033E-06</v>
      </c>
      <c r="M57" s="4">
        <v>2</v>
      </c>
    </row>
    <row r="58" spans="1:13" ht="12.75">
      <c r="A58" s="3">
        <f t="shared" si="6"/>
        <v>9</v>
      </c>
      <c r="B58" s="3" t="s">
        <v>44</v>
      </c>
      <c r="C58" s="4">
        <v>1931</v>
      </c>
      <c r="D58" s="15">
        <v>1.7579</v>
      </c>
      <c r="E58" s="3">
        <v>0.0025</v>
      </c>
      <c r="F58" s="4" t="s">
        <v>38</v>
      </c>
      <c r="G58" s="3"/>
      <c r="H58" s="3"/>
      <c r="I58" s="3"/>
      <c r="J58" s="3">
        <f t="shared" si="7"/>
        <v>1.0240000000000586E-05</v>
      </c>
      <c r="K58" s="3">
        <f t="shared" si="4"/>
        <v>-0.0021628958333330672</v>
      </c>
      <c r="L58" s="3">
        <f t="shared" si="5"/>
        <v>4.678118385849543E-06</v>
      </c>
      <c r="M58" s="4">
        <v>3</v>
      </c>
    </row>
    <row r="59" spans="1:13" ht="12.75">
      <c r="A59" s="3">
        <f t="shared" si="6"/>
        <v>10</v>
      </c>
      <c r="B59" s="3" t="s">
        <v>45</v>
      </c>
      <c r="C59" s="4">
        <v>1932</v>
      </c>
      <c r="D59" s="15">
        <f>(1.7592+1.759)/2</f>
        <v>1.7591</v>
      </c>
      <c r="E59" s="3"/>
      <c r="F59" s="4"/>
      <c r="G59" s="3"/>
      <c r="H59" s="3"/>
      <c r="I59" s="3"/>
      <c r="J59" s="3">
        <f t="shared" si="7"/>
        <v>1.4400000000002158E-06</v>
      </c>
      <c r="K59" s="3">
        <f t="shared" si="4"/>
        <v>-0.0009628958333329773</v>
      </c>
      <c r="L59" s="3">
        <f t="shared" si="5"/>
        <v>9.271683858500089E-07</v>
      </c>
      <c r="M59" s="4">
        <v>3</v>
      </c>
    </row>
    <row r="60" spans="1:13" ht="12.75">
      <c r="A60" s="3">
        <f t="shared" si="6"/>
        <v>11</v>
      </c>
      <c r="B60" s="3" t="s">
        <v>46</v>
      </c>
      <c r="C60" s="4">
        <v>1934</v>
      </c>
      <c r="D60" s="15">
        <v>1.757</v>
      </c>
      <c r="E60" s="3">
        <v>0.0007</v>
      </c>
      <c r="F60" s="4" t="s">
        <v>38</v>
      </c>
      <c r="G60" s="3"/>
      <c r="H60" s="3"/>
      <c r="I60" s="3"/>
      <c r="J60" s="3">
        <f t="shared" si="7"/>
        <v>4.410000000000894E-06</v>
      </c>
      <c r="K60" s="3">
        <f t="shared" si="4"/>
        <v>-0.00306289583333319</v>
      </c>
      <c r="L60" s="3">
        <f t="shared" si="5"/>
        <v>9.381330885849818E-06</v>
      </c>
      <c r="M60" s="4">
        <v>3</v>
      </c>
    </row>
    <row r="61" spans="1:13" ht="12.75">
      <c r="A61" s="3">
        <f t="shared" si="6"/>
        <v>12</v>
      </c>
      <c r="B61" s="3" t="s">
        <v>47</v>
      </c>
      <c r="C61" s="4">
        <v>1935</v>
      </c>
      <c r="D61" s="15">
        <v>1.75815</v>
      </c>
      <c r="E61" s="3">
        <v>0.0006</v>
      </c>
      <c r="F61" s="4" t="s">
        <v>36</v>
      </c>
      <c r="G61" s="3"/>
      <c r="H61" s="3"/>
      <c r="I61" s="3"/>
      <c r="J61" s="3">
        <f t="shared" si="7"/>
        <v>1.3225000000004748E-06</v>
      </c>
      <c r="K61" s="3">
        <f t="shared" si="4"/>
        <v>-0.0019128958333329837</v>
      </c>
      <c r="L61" s="3">
        <f t="shared" si="5"/>
        <v>3.65917046918269E-06</v>
      </c>
      <c r="M61" s="4">
        <v>3</v>
      </c>
    </row>
    <row r="62" spans="1:13" ht="12.75">
      <c r="A62" s="3">
        <f t="shared" si="6"/>
        <v>13</v>
      </c>
      <c r="B62" s="3" t="s">
        <v>48</v>
      </c>
      <c r="C62" s="4">
        <v>1937</v>
      </c>
      <c r="D62" s="15">
        <f>(1.759+1.75982)/2</f>
        <v>1.75941</v>
      </c>
      <c r="E62" s="3"/>
      <c r="F62" s="4"/>
      <c r="G62" s="3"/>
      <c r="H62" s="3"/>
      <c r="I62" s="3"/>
      <c r="J62" s="3">
        <f t="shared" si="7"/>
        <v>1.5875999999995384E-06</v>
      </c>
      <c r="K62" s="3">
        <f t="shared" si="4"/>
        <v>-0.0006528958333331669</v>
      </c>
      <c r="L62" s="3">
        <f t="shared" si="5"/>
        <v>4.262729691838105E-07</v>
      </c>
      <c r="M62" s="4">
        <v>3</v>
      </c>
    </row>
    <row r="63" spans="1:13" ht="12.75">
      <c r="A63" s="3">
        <f t="shared" si="6"/>
        <v>14</v>
      </c>
      <c r="B63" s="3" t="s">
        <v>216</v>
      </c>
      <c r="C63" s="4">
        <v>1938</v>
      </c>
      <c r="D63" s="15">
        <f>(1.75797+1.7582+1.76006)/3</f>
        <v>1.7587433333333333</v>
      </c>
      <c r="E63" s="3"/>
      <c r="F63" s="4"/>
      <c r="G63" s="3"/>
      <c r="H63" s="3"/>
      <c r="I63" s="3"/>
      <c r="J63" s="3">
        <f t="shared" si="7"/>
        <v>4.4444444444434655E-07</v>
      </c>
      <c r="K63" s="3">
        <f t="shared" si="4"/>
        <v>-0.0013195624999997602</v>
      </c>
      <c r="L63" s="3">
        <f t="shared" si="5"/>
        <v>1.741245191405617E-06</v>
      </c>
      <c r="M63" s="4">
        <v>3</v>
      </c>
    </row>
    <row r="64" spans="1:13" ht="12.75">
      <c r="A64" s="3">
        <f t="shared" si="6"/>
        <v>15</v>
      </c>
      <c r="B64" s="3" t="s">
        <v>217</v>
      </c>
      <c r="C64" s="4">
        <v>1939</v>
      </c>
      <c r="D64" s="15">
        <f>(1.76048+1.75914+1.7587)/3</f>
        <v>1.75944</v>
      </c>
      <c r="E64" s="3"/>
      <c r="F64" s="4"/>
      <c r="G64" s="3"/>
      <c r="H64" s="3"/>
      <c r="I64" s="3"/>
      <c r="J64" s="3">
        <f t="shared" si="7"/>
        <v>4.853444444443066E-07</v>
      </c>
      <c r="K64" s="3">
        <f t="shared" si="4"/>
        <v>-0.0006228958333331924</v>
      </c>
      <c r="L64" s="3">
        <f t="shared" si="5"/>
        <v>3.879992191838522E-07</v>
      </c>
      <c r="M64" s="4">
        <v>3</v>
      </c>
    </row>
    <row r="65" spans="1:13" ht="12.75">
      <c r="A65" s="3">
        <f t="shared" si="6"/>
        <v>16</v>
      </c>
      <c r="B65" s="3" t="s">
        <v>49</v>
      </c>
      <c r="C65" s="4">
        <v>1940</v>
      </c>
      <c r="D65" s="15">
        <v>1.75913</v>
      </c>
      <c r="E65" s="3">
        <v>0.00027</v>
      </c>
      <c r="F65" s="4" t="s">
        <v>36</v>
      </c>
      <c r="G65" s="3"/>
      <c r="H65" s="3"/>
      <c r="I65" s="3"/>
      <c r="J65" s="3">
        <f t="shared" si="7"/>
        <v>9.609999999988247E-08</v>
      </c>
      <c r="K65" s="3">
        <f t="shared" si="4"/>
        <v>-0.0009328958333330029</v>
      </c>
      <c r="L65" s="3">
        <f t="shared" si="5"/>
        <v>8.702946358500778E-07</v>
      </c>
      <c r="M65" s="4">
        <v>3</v>
      </c>
    </row>
    <row r="66" spans="1:13" ht="12.75">
      <c r="A66" s="3">
        <f t="shared" si="6"/>
        <v>17</v>
      </c>
      <c r="B66" s="3" t="s">
        <v>50</v>
      </c>
      <c r="C66" s="4">
        <v>1941</v>
      </c>
      <c r="D66" s="15">
        <v>1.7592</v>
      </c>
      <c r="E66" s="3">
        <v>0.0005</v>
      </c>
      <c r="F66" s="4" t="s">
        <v>34</v>
      </c>
      <c r="G66" s="3"/>
      <c r="H66" s="3"/>
      <c r="I66" s="3"/>
      <c r="J66" s="3">
        <f t="shared" si="7"/>
        <v>4.900000000002029E-09</v>
      </c>
      <c r="K66" s="3">
        <f t="shared" si="4"/>
        <v>-0.0008628958333329884</v>
      </c>
      <c r="L66" s="3">
        <f t="shared" si="5"/>
        <v>7.445892191834324E-07</v>
      </c>
      <c r="M66" s="4">
        <v>3</v>
      </c>
    </row>
    <row r="67" spans="1:13" ht="12.75">
      <c r="A67" s="3">
        <f t="shared" si="6"/>
        <v>18</v>
      </c>
      <c r="B67" s="3" t="s">
        <v>51</v>
      </c>
      <c r="C67" s="4">
        <v>1947</v>
      </c>
      <c r="D67" s="15">
        <v>1.7592</v>
      </c>
      <c r="E67" s="3">
        <v>0.00038</v>
      </c>
      <c r="F67" s="4" t="s">
        <v>34</v>
      </c>
      <c r="G67" s="3"/>
      <c r="H67" s="3"/>
      <c r="I67" s="3"/>
      <c r="J67" s="3">
        <f t="shared" si="7"/>
        <v>0</v>
      </c>
      <c r="K67" s="3">
        <f t="shared" si="4"/>
        <v>-0.0008628958333329884</v>
      </c>
      <c r="L67" s="3">
        <f t="shared" si="5"/>
        <v>7.445892191834324E-07</v>
      </c>
      <c r="M67" s="4">
        <v>3</v>
      </c>
    </row>
    <row r="68" spans="1:13" ht="12.75">
      <c r="A68" s="3">
        <f t="shared" si="6"/>
        <v>19</v>
      </c>
      <c r="B68" s="3" t="s">
        <v>52</v>
      </c>
      <c r="C68" s="4">
        <v>1951</v>
      </c>
      <c r="D68" s="15">
        <f>(1.758912+1.758896+1.7589)/3</f>
        <v>1.7589026666666667</v>
      </c>
      <c r="E68" s="3"/>
      <c r="F68" s="4"/>
      <c r="G68" s="3"/>
      <c r="H68" s="3"/>
      <c r="I68" s="3"/>
      <c r="J68" s="3">
        <f t="shared" si="7"/>
        <v>8.84071111111339E-08</v>
      </c>
      <c r="K68" s="3">
        <f t="shared" si="4"/>
        <v>-0.00116022916666636</v>
      </c>
      <c r="L68" s="3">
        <f t="shared" si="5"/>
        <v>1.3461317191833162E-06</v>
      </c>
      <c r="M68" s="4">
        <v>3</v>
      </c>
    </row>
    <row r="69" spans="1:13" ht="12.75">
      <c r="A69" s="3">
        <f t="shared" si="6"/>
        <v>20</v>
      </c>
      <c r="B69" s="3" t="s">
        <v>51</v>
      </c>
      <c r="C69" s="4">
        <v>1952</v>
      </c>
      <c r="D69" s="15">
        <v>1.75888</v>
      </c>
      <c r="E69" s="3">
        <v>5E-05</v>
      </c>
      <c r="F69" s="4" t="s">
        <v>34</v>
      </c>
      <c r="G69" s="3"/>
      <c r="H69" s="3"/>
      <c r="I69" s="3"/>
      <c r="J69" s="3">
        <f t="shared" si="7"/>
        <v>5.137777777804831E-10</v>
      </c>
      <c r="K69" s="3">
        <f t="shared" si="4"/>
        <v>-0.0011828958333330863</v>
      </c>
      <c r="L69" s="3">
        <f t="shared" si="5"/>
        <v>1.3992425525167768E-06</v>
      </c>
      <c r="M69" s="4">
        <v>3</v>
      </c>
    </row>
    <row r="70" spans="1:13" ht="12.75">
      <c r="A70" s="3">
        <f t="shared" si="6"/>
        <v>21</v>
      </c>
      <c r="B70" s="3" t="s">
        <v>225</v>
      </c>
      <c r="C70" s="4">
        <v>1955</v>
      </c>
      <c r="D70" s="15">
        <v>1.7589</v>
      </c>
      <c r="E70" s="3">
        <v>2E-05</v>
      </c>
      <c r="F70" s="4" t="s">
        <v>34</v>
      </c>
      <c r="G70" s="3"/>
      <c r="H70" s="3"/>
      <c r="I70" s="3"/>
      <c r="J70" s="3">
        <f t="shared" si="7"/>
        <v>3.999999999963592E-10</v>
      </c>
      <c r="K70" s="3">
        <f t="shared" si="4"/>
        <v>-0.0011628958333331774</v>
      </c>
      <c r="L70" s="3">
        <f t="shared" si="5"/>
        <v>1.3523267191836651E-06</v>
      </c>
      <c r="M70" s="4">
        <v>3</v>
      </c>
    </row>
    <row r="71" spans="1:13" ht="12.75">
      <c r="A71" s="3">
        <f t="shared" si="6"/>
        <v>22</v>
      </c>
      <c r="B71" s="3" t="s">
        <v>53</v>
      </c>
      <c r="C71" s="4">
        <v>1965</v>
      </c>
      <c r="D71" s="15">
        <v>1.758796</v>
      </c>
      <c r="E71" s="3">
        <v>6E-06</v>
      </c>
      <c r="F71" s="4" t="s">
        <v>34</v>
      </c>
      <c r="G71" s="3"/>
      <c r="H71" s="3"/>
      <c r="I71" s="3"/>
      <c r="J71" s="3">
        <f t="shared" si="7"/>
        <v>1.0815999999975448E-08</v>
      </c>
      <c r="K71" s="3">
        <f t="shared" si="4"/>
        <v>-0.0012668958333330593</v>
      </c>
      <c r="L71" s="3">
        <f t="shared" si="5"/>
        <v>1.605025052516667E-06</v>
      </c>
      <c r="M71" s="4">
        <v>3</v>
      </c>
    </row>
    <row r="72" spans="1:13" ht="12.75">
      <c r="A72" s="3">
        <f t="shared" si="6"/>
        <v>23</v>
      </c>
      <c r="B72" s="3" t="s">
        <v>54</v>
      </c>
      <c r="C72" s="4">
        <v>1969</v>
      </c>
      <c r="D72" s="15">
        <v>1.7588028</v>
      </c>
      <c r="E72" s="3">
        <v>5.4E-06</v>
      </c>
      <c r="F72" s="4" t="s">
        <v>34</v>
      </c>
      <c r="G72" s="3"/>
      <c r="H72" s="3"/>
      <c r="I72" s="3"/>
      <c r="J72" s="3">
        <f t="shared" si="7"/>
        <v>4.623999999963952E-11</v>
      </c>
      <c r="K72" s="3">
        <f t="shared" si="4"/>
        <v>-0.0012600958333330858</v>
      </c>
      <c r="L72" s="3">
        <f t="shared" si="5"/>
        <v>1.587841509183404E-06</v>
      </c>
      <c r="M72" s="4">
        <v>3</v>
      </c>
    </row>
    <row r="73" spans="1:13" ht="12.75">
      <c r="A73" s="3">
        <f t="shared" si="6"/>
        <v>24</v>
      </c>
      <c r="B73" s="3" t="s">
        <v>228</v>
      </c>
      <c r="C73" s="4">
        <v>1973</v>
      </c>
      <c r="D73" s="15">
        <v>1.7588047</v>
      </c>
      <c r="E73" s="3">
        <v>4.9E-06</v>
      </c>
      <c r="F73" s="4" t="s">
        <v>34</v>
      </c>
      <c r="G73" s="3"/>
      <c r="H73" s="3"/>
      <c r="I73" s="3"/>
      <c r="J73" s="3">
        <f t="shared" si="7"/>
        <v>3.6099999999966737E-12</v>
      </c>
      <c r="K73" s="3">
        <f t="shared" si="4"/>
        <v>-0.0012581958333330867</v>
      </c>
      <c r="L73" s="3"/>
      <c r="M73" s="4">
        <v>3</v>
      </c>
    </row>
    <row r="74" spans="3:13" ht="12.75">
      <c r="C74" s="11" t="s">
        <v>229</v>
      </c>
      <c r="D74" s="22">
        <f>AVERAGE(D50:D73)</f>
        <v>1.760062895833333</v>
      </c>
      <c r="E74" s="3"/>
      <c r="F74" s="8"/>
      <c r="G74" s="9"/>
      <c r="H74" s="9"/>
      <c r="I74" s="9" t="s">
        <v>230</v>
      </c>
      <c r="J74" s="3">
        <f>SUM(J50:J73)</f>
        <v>0.0001821760756277824</v>
      </c>
      <c r="K74" s="3">
        <f>SUM(K50:L73)</f>
        <v>0.00016022499947633724</v>
      </c>
      <c r="L74" s="4">
        <f>SUM(L50:L73)</f>
        <v>0.00016022499947012183</v>
      </c>
      <c r="M74" s="3">
        <v>3</v>
      </c>
    </row>
    <row r="75" spans="3:13" ht="12.75">
      <c r="C75" s="11" t="s">
        <v>231</v>
      </c>
      <c r="D75" s="22">
        <f>STDEV(D50:D73)</f>
        <v>0.0026523824914527943</v>
      </c>
      <c r="E75" s="3"/>
      <c r="F75" s="10"/>
      <c r="G75" s="3"/>
      <c r="H75" s="3"/>
      <c r="I75" s="3"/>
      <c r="J75" s="3"/>
      <c r="K75" s="3"/>
      <c r="L75" s="4"/>
      <c r="M75" s="3"/>
    </row>
    <row r="76" spans="3:12" ht="15.75">
      <c r="C76" s="11" t="s">
        <v>232</v>
      </c>
      <c r="D76" s="22">
        <f>VAR(D50:D73)</f>
        <v>7.035132880965332E-06</v>
      </c>
      <c r="E76" s="3"/>
      <c r="F76" s="3"/>
      <c r="G76" s="3"/>
      <c r="H76" s="3"/>
      <c r="J76" s="2" t="s">
        <v>233</v>
      </c>
      <c r="L76" s="2" t="s">
        <v>234</v>
      </c>
    </row>
    <row r="77" spans="10:11" ht="13.5">
      <c r="J77" s="6" t="s">
        <v>237</v>
      </c>
      <c r="K77" s="19">
        <f>J74/L74</f>
        <v>1.1370015679841141</v>
      </c>
    </row>
    <row r="78" spans="10:11" ht="13.5">
      <c r="J78" s="6" t="s">
        <v>239</v>
      </c>
      <c r="K78" s="19">
        <f>(M73-(K85+1))/K86</f>
        <v>-4.17423554968361</v>
      </c>
    </row>
    <row r="79" spans="2:11" ht="13.5">
      <c r="B79" t="s">
        <v>55</v>
      </c>
      <c r="D79" t="s">
        <v>56</v>
      </c>
      <c r="J79" s="6" t="s">
        <v>14</v>
      </c>
      <c r="K79" s="19">
        <f>((K80)*(K82))/K83</f>
        <v>2.2749717506597125</v>
      </c>
    </row>
    <row r="80" spans="2:11" ht="12.75">
      <c r="B80" t="s">
        <v>57</v>
      </c>
      <c r="J80" t="s">
        <v>16</v>
      </c>
      <c r="K80">
        <f>D74-D73</f>
        <v>0.0012581958333330867</v>
      </c>
    </row>
    <row r="81" spans="10:11" ht="12.75">
      <c r="J81" t="s">
        <v>20</v>
      </c>
      <c r="K81">
        <f>A73</f>
        <v>24</v>
      </c>
    </row>
    <row r="82" spans="2:11" ht="12.75">
      <c r="B82" t="s">
        <v>58</v>
      </c>
      <c r="J82" t="s">
        <v>23</v>
      </c>
      <c r="K82">
        <f>(K81-1)^0.5</f>
        <v>4.795831523312719</v>
      </c>
    </row>
    <row r="83" spans="10:11" ht="12.75">
      <c r="J83" t="s">
        <v>231</v>
      </c>
      <c r="K83">
        <f>D75</f>
        <v>0.0026523824914527943</v>
      </c>
    </row>
    <row r="84" spans="10:11" ht="12.75">
      <c r="J84" t="s">
        <v>24</v>
      </c>
      <c r="K84">
        <f>A73</f>
        <v>24</v>
      </c>
    </row>
    <row r="85" spans="10:11" ht="12.75">
      <c r="J85" t="s">
        <v>25</v>
      </c>
      <c r="K85">
        <f>K84/2</f>
        <v>12</v>
      </c>
    </row>
    <row r="86" spans="10:11" ht="12.75">
      <c r="J86" t="s">
        <v>26</v>
      </c>
      <c r="K86">
        <f>((K85*(K85-1))/(K84-1))^0.5</f>
        <v>2.395648228514071</v>
      </c>
    </row>
    <row r="89" spans="2:5" ht="15.75">
      <c r="B89" s="13" t="s">
        <v>59</v>
      </c>
      <c r="C89" s="13"/>
      <c r="E89" s="2" t="s">
        <v>189</v>
      </c>
    </row>
    <row r="90" ht="12.75">
      <c r="B90" t="s">
        <v>60</v>
      </c>
    </row>
    <row r="93" spans="1:13" ht="13.5">
      <c r="A93" s="14" t="s">
        <v>191</v>
      </c>
      <c r="B93" s="5" t="s">
        <v>192</v>
      </c>
      <c r="C93" s="5" t="s">
        <v>193</v>
      </c>
      <c r="D93" s="5" t="s">
        <v>61</v>
      </c>
      <c r="E93" s="5" t="s">
        <v>62</v>
      </c>
      <c r="F93" s="14" t="s">
        <v>196</v>
      </c>
      <c r="G93" s="14" t="s">
        <v>197</v>
      </c>
      <c r="H93" s="14"/>
      <c r="I93" s="14"/>
      <c r="J93" s="5" t="s">
        <v>199</v>
      </c>
      <c r="K93" s="5" t="s">
        <v>200</v>
      </c>
      <c r="L93" s="5" t="s">
        <v>201</v>
      </c>
      <c r="M93" s="5" t="s">
        <v>202</v>
      </c>
    </row>
    <row r="94" spans="1:13" ht="12.75">
      <c r="A94" s="3">
        <v>1</v>
      </c>
      <c r="B94" s="3" t="s">
        <v>63</v>
      </c>
      <c r="C94" s="4">
        <v>1921</v>
      </c>
      <c r="D94" s="22">
        <v>1.37494</v>
      </c>
      <c r="E94" s="4" t="s">
        <v>210</v>
      </c>
      <c r="F94" s="3"/>
      <c r="G94" s="3"/>
      <c r="H94" s="3"/>
      <c r="I94" s="3"/>
      <c r="J94" s="3"/>
      <c r="K94" s="3">
        <f aca="true" t="shared" si="8" ref="K94:K118">D94-$D$119</f>
        <v>-0.002325556000000173</v>
      </c>
      <c r="L94" s="3">
        <f aca="true" t="shared" si="9" ref="L94:L117">(K94)^2</f>
        <v>5.408210709136804E-06</v>
      </c>
      <c r="M94" s="3">
        <v>1</v>
      </c>
    </row>
    <row r="95" spans="1:13" ht="12.75">
      <c r="A95" s="3">
        <f aca="true" t="shared" si="10" ref="A95:A118">A94+1</f>
        <v>2</v>
      </c>
      <c r="B95" s="3" t="s">
        <v>64</v>
      </c>
      <c r="C95" s="4">
        <v>1926</v>
      </c>
      <c r="D95" s="22">
        <v>1.3753</v>
      </c>
      <c r="E95" s="4">
        <v>0.0027</v>
      </c>
      <c r="F95" s="3"/>
      <c r="G95" s="3"/>
      <c r="H95" s="3"/>
      <c r="I95" s="3"/>
      <c r="J95" s="15">
        <f aca="true" t="shared" si="11" ref="J95:J118">(D94-D95)^2</f>
        <v>1.2959999999993949E-07</v>
      </c>
      <c r="K95" s="3">
        <f t="shared" si="8"/>
        <v>-0.001965556000000257</v>
      </c>
      <c r="L95" s="3">
        <f t="shared" si="9"/>
        <v>3.8634103891370106E-06</v>
      </c>
      <c r="M95" s="3">
        <v>1</v>
      </c>
    </row>
    <row r="96" spans="1:13" ht="12.75">
      <c r="A96" s="3">
        <f t="shared" si="10"/>
        <v>3</v>
      </c>
      <c r="B96" s="3" t="s">
        <v>65</v>
      </c>
      <c r="C96" s="4">
        <v>1928</v>
      </c>
      <c r="D96" s="22">
        <v>1.3715</v>
      </c>
      <c r="E96" s="4" t="s">
        <v>210</v>
      </c>
      <c r="F96" s="3"/>
      <c r="G96" s="3"/>
      <c r="H96" s="3"/>
      <c r="I96" s="3"/>
      <c r="J96" s="15">
        <f t="shared" si="11"/>
        <v>1.4440000000000194E-05</v>
      </c>
      <c r="K96" s="3">
        <f t="shared" si="8"/>
        <v>-0.0057655560000002826</v>
      </c>
      <c r="L96" s="3">
        <f t="shared" si="9"/>
        <v>3.324163598913926E-05</v>
      </c>
      <c r="M96" s="3">
        <v>1</v>
      </c>
    </row>
    <row r="97" spans="1:13" ht="12.75">
      <c r="A97" s="3">
        <f t="shared" si="10"/>
        <v>4</v>
      </c>
      <c r="B97" s="3" t="s">
        <v>66</v>
      </c>
      <c r="C97" s="4">
        <v>1929</v>
      </c>
      <c r="D97" s="22">
        <v>1.37588</v>
      </c>
      <c r="E97" s="4" t="s">
        <v>210</v>
      </c>
      <c r="F97" s="3"/>
      <c r="G97" s="3"/>
      <c r="H97" s="3"/>
      <c r="I97" s="3"/>
      <c r="J97" s="15">
        <f t="shared" si="11"/>
        <v>1.9184400000000443E-05</v>
      </c>
      <c r="K97" s="3">
        <f t="shared" si="8"/>
        <v>-0.001385556000000232</v>
      </c>
      <c r="L97" s="3">
        <f t="shared" si="9"/>
        <v>1.919765429136643E-06</v>
      </c>
      <c r="M97" s="3">
        <v>1</v>
      </c>
    </row>
    <row r="98" spans="1:13" ht="12.75">
      <c r="A98" s="3">
        <f t="shared" si="10"/>
        <v>5</v>
      </c>
      <c r="B98" s="3" t="s">
        <v>67</v>
      </c>
      <c r="C98" s="4">
        <v>1930</v>
      </c>
      <c r="D98" s="22">
        <v>1.372</v>
      </c>
      <c r="E98" s="4" t="s">
        <v>210</v>
      </c>
      <c r="F98" s="3"/>
      <c r="G98" s="3"/>
      <c r="H98" s="3"/>
      <c r="I98" s="3"/>
      <c r="J98" s="15">
        <f t="shared" si="11"/>
        <v>1.5054399999999096E-05</v>
      </c>
      <c r="K98" s="3">
        <f t="shared" si="8"/>
        <v>-0.005265556000000116</v>
      </c>
      <c r="L98" s="3">
        <f t="shared" si="9"/>
        <v>2.7726079989137216E-05</v>
      </c>
      <c r="M98" s="3">
        <v>1</v>
      </c>
    </row>
    <row r="99" spans="1:13" ht="12.75">
      <c r="A99" s="3">
        <f t="shared" si="10"/>
        <v>6</v>
      </c>
      <c r="B99" s="3" t="s">
        <v>68</v>
      </c>
      <c r="C99" s="4">
        <v>1931</v>
      </c>
      <c r="D99" s="22">
        <v>1.3753</v>
      </c>
      <c r="E99" s="4">
        <v>0.0025</v>
      </c>
      <c r="F99" s="3"/>
      <c r="G99" s="3"/>
      <c r="H99" s="3"/>
      <c r="I99" s="3"/>
      <c r="J99" s="15">
        <f t="shared" si="11"/>
        <v>1.0889999999999067E-05</v>
      </c>
      <c r="K99" s="3">
        <f t="shared" si="8"/>
        <v>-0.001965556000000257</v>
      </c>
      <c r="L99" s="3">
        <f t="shared" si="9"/>
        <v>3.8634103891370106E-06</v>
      </c>
      <c r="M99" s="3">
        <v>1</v>
      </c>
    </row>
    <row r="100" spans="1:13" ht="12.75">
      <c r="A100" s="3">
        <f t="shared" si="10"/>
        <v>7</v>
      </c>
      <c r="B100" s="3" t="s">
        <v>69</v>
      </c>
      <c r="C100" s="4">
        <v>1934</v>
      </c>
      <c r="D100" s="22">
        <f>(1.37541+1.375)/2</f>
        <v>1.375205</v>
      </c>
      <c r="E100" s="4"/>
      <c r="F100" s="3"/>
      <c r="G100" s="3"/>
      <c r="H100" s="3"/>
      <c r="I100" s="3"/>
      <c r="J100" s="15">
        <f t="shared" si="11"/>
        <v>9.024999999991683E-09</v>
      </c>
      <c r="K100" s="3">
        <f t="shared" si="8"/>
        <v>-0.0020605560000002132</v>
      </c>
      <c r="L100" s="3">
        <f t="shared" si="9"/>
        <v>4.245891029136879E-06</v>
      </c>
      <c r="M100" s="3">
        <v>1</v>
      </c>
    </row>
    <row r="101" spans="1:13" ht="12.75">
      <c r="A101" s="3">
        <f t="shared" si="10"/>
        <v>8</v>
      </c>
      <c r="B101" s="3" t="s">
        <v>70</v>
      </c>
      <c r="C101" s="4">
        <v>1935</v>
      </c>
      <c r="D101" s="22">
        <v>1.3737</v>
      </c>
      <c r="E101" s="4">
        <v>0.0018</v>
      </c>
      <c r="F101" s="3"/>
      <c r="G101" s="3"/>
      <c r="H101" s="3"/>
      <c r="I101" s="3"/>
      <c r="J101" s="15">
        <f t="shared" si="11"/>
        <v>2.2650250000002697E-06</v>
      </c>
      <c r="K101" s="3">
        <f t="shared" si="8"/>
        <v>-0.003565556000000303</v>
      </c>
      <c r="L101" s="3">
        <f t="shared" si="9"/>
        <v>1.271318958913816E-05</v>
      </c>
      <c r="M101" s="3">
        <v>1</v>
      </c>
    </row>
    <row r="102" spans="1:13" ht="12.75">
      <c r="A102" s="3">
        <f t="shared" si="10"/>
        <v>9</v>
      </c>
      <c r="B102" s="3" t="s">
        <v>71</v>
      </c>
      <c r="C102" s="4">
        <v>1935</v>
      </c>
      <c r="D102" s="22">
        <v>1.3775</v>
      </c>
      <c r="E102" s="4">
        <v>0.0004</v>
      </c>
      <c r="F102" s="3"/>
      <c r="G102" s="3"/>
      <c r="H102" s="3"/>
      <c r="I102" s="3"/>
      <c r="J102" s="15">
        <f t="shared" si="11"/>
        <v>1.4440000000000194E-05</v>
      </c>
      <c r="K102" s="3">
        <f t="shared" si="8"/>
        <v>0.00023444399999972276</v>
      </c>
      <c r="L102" s="3">
        <f t="shared" si="9"/>
        <v>5.496398913587001E-08</v>
      </c>
      <c r="M102" s="3">
        <v>2</v>
      </c>
    </row>
    <row r="103" spans="1:13" ht="12.75">
      <c r="A103" s="3">
        <f t="shared" si="10"/>
        <v>10</v>
      </c>
      <c r="B103" s="3" t="s">
        <v>72</v>
      </c>
      <c r="C103" s="4">
        <v>1936</v>
      </c>
      <c r="D103" s="22">
        <v>1.37646</v>
      </c>
      <c r="E103" s="4">
        <v>0.0003</v>
      </c>
      <c r="F103" s="3"/>
      <c r="G103" s="3"/>
      <c r="H103" s="3"/>
      <c r="I103" s="3"/>
      <c r="J103" s="15">
        <f t="shared" si="11"/>
        <v>1.081599999999854E-06</v>
      </c>
      <c r="K103" s="3">
        <f t="shared" si="8"/>
        <v>-0.0008055560000002071</v>
      </c>
      <c r="L103" s="3">
        <f t="shared" si="9"/>
        <v>6.489204691363336E-07</v>
      </c>
      <c r="M103" s="3">
        <v>3</v>
      </c>
    </row>
    <row r="104" spans="1:13" ht="12.75">
      <c r="A104" s="3">
        <f t="shared" si="10"/>
        <v>11</v>
      </c>
      <c r="B104" s="3" t="s">
        <v>73</v>
      </c>
      <c r="C104" s="4">
        <v>1938</v>
      </c>
      <c r="D104" s="22">
        <v>1.3763</v>
      </c>
      <c r="E104" s="4">
        <v>0.0003</v>
      </c>
      <c r="F104" s="3"/>
      <c r="G104" s="3"/>
      <c r="H104" s="3"/>
      <c r="I104" s="3"/>
      <c r="J104" s="15">
        <f t="shared" si="11"/>
        <v>2.5599999999980152E-08</v>
      </c>
      <c r="K104" s="3">
        <f t="shared" si="8"/>
        <v>-0.0009655560000001451</v>
      </c>
      <c r="L104" s="3">
        <f t="shared" si="9"/>
        <v>9.322983891362801E-07</v>
      </c>
      <c r="M104" s="3">
        <v>3</v>
      </c>
    </row>
    <row r="105" spans="1:13" ht="12.75">
      <c r="A105" s="3">
        <f t="shared" si="10"/>
        <v>12</v>
      </c>
      <c r="B105" s="3" t="s">
        <v>217</v>
      </c>
      <c r="C105" s="4">
        <v>1939</v>
      </c>
      <c r="D105" s="22">
        <f>(1.3772+1.3787)/2</f>
        <v>1.37795</v>
      </c>
      <c r="E105" s="17"/>
      <c r="F105" s="3"/>
      <c r="G105" s="3"/>
      <c r="H105" s="3"/>
      <c r="I105" s="3"/>
      <c r="J105" s="15">
        <f t="shared" si="11"/>
        <v>2.722499999999767E-06</v>
      </c>
      <c r="K105" s="3">
        <f t="shared" si="8"/>
        <v>0.0006844439999997842</v>
      </c>
      <c r="L105" s="3">
        <f t="shared" si="9"/>
        <v>4.6846358913570463E-07</v>
      </c>
      <c r="M105" s="3">
        <v>4</v>
      </c>
    </row>
    <row r="106" spans="1:13" ht="12.75">
      <c r="A106" s="3">
        <f t="shared" si="10"/>
        <v>13</v>
      </c>
      <c r="B106" s="3" t="s">
        <v>207</v>
      </c>
      <c r="C106" s="4">
        <v>1940</v>
      </c>
      <c r="D106" s="22">
        <v>1.37929</v>
      </c>
      <c r="E106" s="4">
        <v>0.0002</v>
      </c>
      <c r="F106" s="3"/>
      <c r="G106" s="3"/>
      <c r="H106" s="3"/>
      <c r="I106" s="3"/>
      <c r="J106" s="15">
        <f t="shared" si="11"/>
        <v>1.7955999999997235E-06</v>
      </c>
      <c r="K106" s="3">
        <f t="shared" si="8"/>
        <v>0.002024443999999681</v>
      </c>
      <c r="L106" s="3">
        <f t="shared" si="9"/>
        <v>4.098373509134709E-06</v>
      </c>
      <c r="M106" s="3">
        <v>4</v>
      </c>
    </row>
    <row r="107" spans="1:13" ht="12.75">
      <c r="A107" s="3">
        <f t="shared" si="10"/>
        <v>14</v>
      </c>
      <c r="B107" s="3" t="s">
        <v>74</v>
      </c>
      <c r="C107" s="4">
        <v>1941</v>
      </c>
      <c r="D107" s="22">
        <f>(1.37933+1.3775)/2</f>
        <v>1.378415</v>
      </c>
      <c r="E107" s="4"/>
      <c r="F107" s="3"/>
      <c r="G107" s="3"/>
      <c r="H107" s="3"/>
      <c r="I107" s="3"/>
      <c r="J107" s="15">
        <f t="shared" si="11"/>
        <v>7.656249999999285E-07</v>
      </c>
      <c r="K107" s="3">
        <f t="shared" si="8"/>
        <v>0.001149443999999722</v>
      </c>
      <c r="L107" s="3">
        <f t="shared" si="9"/>
        <v>1.3212215091353607E-06</v>
      </c>
      <c r="M107" s="3">
        <v>4</v>
      </c>
    </row>
    <row r="108" spans="1:13" ht="12.75">
      <c r="A108" s="3">
        <f t="shared" si="10"/>
        <v>15</v>
      </c>
      <c r="B108" s="3" t="s">
        <v>75</v>
      </c>
      <c r="C108" s="4">
        <v>1942</v>
      </c>
      <c r="D108" s="22">
        <v>1.3786</v>
      </c>
      <c r="E108" s="4">
        <v>4E-05</v>
      </c>
      <c r="F108" s="3"/>
      <c r="G108" s="3"/>
      <c r="H108" s="3"/>
      <c r="I108" s="3"/>
      <c r="J108" s="15">
        <f t="shared" si="11"/>
        <v>3.422500000003765E-08</v>
      </c>
      <c r="K108" s="3">
        <f t="shared" si="8"/>
        <v>0.0013344439999998237</v>
      </c>
      <c r="L108" s="3">
        <f t="shared" si="9"/>
        <v>1.7807407891355293E-06</v>
      </c>
      <c r="M108" s="3">
        <v>4</v>
      </c>
    </row>
    <row r="109" spans="1:13" ht="12.75">
      <c r="A109" s="3">
        <f t="shared" si="10"/>
        <v>16</v>
      </c>
      <c r="B109" s="3" t="s">
        <v>222</v>
      </c>
      <c r="C109" s="4">
        <v>1947</v>
      </c>
      <c r="D109" s="22">
        <f>(1.3786+1.37926)/2</f>
        <v>1.37893</v>
      </c>
      <c r="E109" s="4"/>
      <c r="F109" s="3"/>
      <c r="G109" s="3"/>
      <c r="H109" s="3"/>
      <c r="I109" s="3"/>
      <c r="J109" s="15">
        <f t="shared" si="11"/>
        <v>1.0889999999996136E-07</v>
      </c>
      <c r="K109" s="3">
        <f t="shared" si="8"/>
        <v>0.0016644439999997651</v>
      </c>
      <c r="L109" s="3">
        <f t="shared" si="9"/>
        <v>2.7703738291352182E-06</v>
      </c>
      <c r="M109" s="3">
        <v>4</v>
      </c>
    </row>
    <row r="110" spans="1:13" ht="12.75">
      <c r="A110" s="3">
        <f t="shared" si="10"/>
        <v>17</v>
      </c>
      <c r="B110" s="3" t="s">
        <v>76</v>
      </c>
      <c r="C110" s="4">
        <v>1951</v>
      </c>
      <c r="D110" s="22">
        <v>1.37928</v>
      </c>
      <c r="E110" s="4" t="s">
        <v>210</v>
      </c>
      <c r="F110" s="3"/>
      <c r="G110" s="3"/>
      <c r="H110" s="3"/>
      <c r="I110" s="3"/>
      <c r="J110" s="15">
        <f t="shared" si="11"/>
        <v>1.2250000000005073E-07</v>
      </c>
      <c r="K110" s="3">
        <f t="shared" si="8"/>
        <v>0.0020144439999998376</v>
      </c>
      <c r="L110" s="3">
        <f t="shared" si="9"/>
        <v>4.057984629135346E-06</v>
      </c>
      <c r="M110" s="3">
        <v>4</v>
      </c>
    </row>
    <row r="111" spans="1:13" ht="12.75">
      <c r="A111" s="3">
        <f t="shared" si="10"/>
        <v>18</v>
      </c>
      <c r="B111" s="3" t="s">
        <v>223</v>
      </c>
      <c r="C111" s="4">
        <v>1951</v>
      </c>
      <c r="D111" s="22">
        <v>1.3793</v>
      </c>
      <c r="E111" s="4">
        <v>2E-05</v>
      </c>
      <c r="F111" s="3"/>
      <c r="G111" s="3"/>
      <c r="H111" s="3"/>
      <c r="I111" s="3"/>
      <c r="J111" s="15">
        <f t="shared" si="11"/>
        <v>3.999999999963592E-10</v>
      </c>
      <c r="K111" s="3">
        <f t="shared" si="8"/>
        <v>0.0020344439999997466</v>
      </c>
      <c r="L111" s="3">
        <f t="shared" si="9"/>
        <v>4.138962389134969E-06</v>
      </c>
      <c r="M111" s="3">
        <v>4</v>
      </c>
    </row>
    <row r="112" spans="1:13" ht="12.75">
      <c r="A112" s="3">
        <f t="shared" si="10"/>
        <v>19</v>
      </c>
      <c r="B112" s="3" t="s">
        <v>52</v>
      </c>
      <c r="C112" s="4">
        <v>1951</v>
      </c>
      <c r="D112" s="22">
        <f>(1.37928+1.3793)/2</f>
        <v>1.3792900000000001</v>
      </c>
      <c r="E112" s="4"/>
      <c r="F112" s="3"/>
      <c r="G112" s="3"/>
      <c r="H112" s="3"/>
      <c r="I112" s="3"/>
      <c r="J112" s="15">
        <f t="shared" si="11"/>
        <v>9.999999999686934E-11</v>
      </c>
      <c r="K112" s="3">
        <f t="shared" si="8"/>
        <v>0.002024443999999903</v>
      </c>
      <c r="L112" s="3">
        <f t="shared" si="9"/>
        <v>4.098373509135607E-06</v>
      </c>
      <c r="M112" s="3">
        <v>4</v>
      </c>
    </row>
    <row r="113" spans="1:13" ht="12.75">
      <c r="A113" s="3">
        <f t="shared" si="10"/>
        <v>20</v>
      </c>
      <c r="B113" s="3" t="s">
        <v>51</v>
      </c>
      <c r="C113" s="4">
        <v>1952</v>
      </c>
      <c r="D113" s="22">
        <v>1.37943</v>
      </c>
      <c r="E113" s="4">
        <v>1.3E-05</v>
      </c>
      <c r="F113" s="3"/>
      <c r="G113" s="3"/>
      <c r="H113" s="3"/>
      <c r="I113" s="3"/>
      <c r="J113" s="15">
        <f t="shared" si="11"/>
        <v>1.9599999999945946E-08</v>
      </c>
      <c r="K113" s="3">
        <f t="shared" si="8"/>
        <v>0.00216444399999971</v>
      </c>
      <c r="L113" s="3">
        <f t="shared" si="9"/>
        <v>4.684817829134745E-06</v>
      </c>
      <c r="M113" s="3">
        <v>4</v>
      </c>
    </row>
    <row r="114" spans="1:13" ht="12.75">
      <c r="A114" s="3">
        <f t="shared" si="10"/>
        <v>21</v>
      </c>
      <c r="B114" s="3" t="s">
        <v>77</v>
      </c>
      <c r="C114" s="4">
        <v>1953</v>
      </c>
      <c r="D114" s="22">
        <v>1.37913</v>
      </c>
      <c r="E114" s="4">
        <v>4.6E-06</v>
      </c>
      <c r="F114" s="3"/>
      <c r="G114" s="3"/>
      <c r="H114" s="3"/>
      <c r="I114" s="3"/>
      <c r="J114" s="15">
        <f t="shared" si="11"/>
        <v>8.999999999998017E-08</v>
      </c>
      <c r="K114" s="3">
        <f t="shared" si="8"/>
        <v>0.001864443999999743</v>
      </c>
      <c r="L114" s="3">
        <f t="shared" si="9"/>
        <v>3.476151429135042E-06</v>
      </c>
      <c r="M114" s="3">
        <v>4</v>
      </c>
    </row>
    <row r="115" spans="1:13" ht="12.75">
      <c r="A115" s="3">
        <f t="shared" si="10"/>
        <v>22</v>
      </c>
      <c r="B115" s="3" t="s">
        <v>225</v>
      </c>
      <c r="C115" s="4">
        <v>1955</v>
      </c>
      <c r="D115" s="22">
        <v>1.37942</v>
      </c>
      <c r="E115" s="4">
        <v>3.6E-06</v>
      </c>
      <c r="F115" s="3"/>
      <c r="G115" s="3"/>
      <c r="H115" s="3"/>
      <c r="I115" s="3"/>
      <c r="J115" s="15">
        <f t="shared" si="11"/>
        <v>8.410000000007162E-08</v>
      </c>
      <c r="K115" s="3">
        <f t="shared" si="8"/>
        <v>0.0021544439999998666</v>
      </c>
      <c r="L115" s="3">
        <f t="shared" si="9"/>
        <v>4.641628949135425E-06</v>
      </c>
      <c r="M115" s="3">
        <v>4</v>
      </c>
    </row>
    <row r="116" spans="1:13" ht="12.75">
      <c r="A116" s="3">
        <f t="shared" si="10"/>
        <v>23</v>
      </c>
      <c r="B116" s="3" t="s">
        <v>53</v>
      </c>
      <c r="C116" s="4">
        <v>1965</v>
      </c>
      <c r="D116" s="22">
        <v>1.379474</v>
      </c>
      <c r="E116" s="4"/>
      <c r="F116" s="3"/>
      <c r="G116" s="3"/>
      <c r="H116" s="3"/>
      <c r="I116" s="3"/>
      <c r="J116" s="15">
        <f t="shared" si="11"/>
        <v>2.9159999999998373E-09</v>
      </c>
      <c r="K116" s="3">
        <f t="shared" si="8"/>
        <v>0.002208443999999865</v>
      </c>
      <c r="L116" s="3">
        <f t="shared" si="9"/>
        <v>4.877224901135404E-06</v>
      </c>
      <c r="M116" s="3">
        <v>4</v>
      </c>
    </row>
    <row r="117" spans="1:13" ht="12.75">
      <c r="A117" s="3">
        <f t="shared" si="10"/>
        <v>24</v>
      </c>
      <c r="B117" s="3" t="s">
        <v>78</v>
      </c>
      <c r="C117" s="4">
        <v>1969</v>
      </c>
      <c r="D117" s="22">
        <v>1.3795234</v>
      </c>
      <c r="E117" s="4"/>
      <c r="F117" s="3"/>
      <c r="G117" s="3"/>
      <c r="H117" s="3"/>
      <c r="I117" s="3"/>
      <c r="J117" s="15">
        <f t="shared" si="11"/>
        <v>2.4403599999977513E-09</v>
      </c>
      <c r="K117" s="3">
        <f t="shared" si="8"/>
        <v>0.0022578439999998423</v>
      </c>
      <c r="L117" s="3">
        <f t="shared" si="9"/>
        <v>5.097859528335288E-06</v>
      </c>
      <c r="M117" s="3">
        <v>4</v>
      </c>
    </row>
    <row r="118" spans="1:13" ht="12.75">
      <c r="A118" s="3">
        <f t="shared" si="10"/>
        <v>25</v>
      </c>
      <c r="B118" s="3" t="s">
        <v>228</v>
      </c>
      <c r="C118" s="4">
        <v>1973</v>
      </c>
      <c r="D118" s="22">
        <v>1.3795215</v>
      </c>
      <c r="E118" s="4"/>
      <c r="F118" s="3"/>
      <c r="G118" s="3"/>
      <c r="H118" s="3"/>
      <c r="I118" s="3"/>
      <c r="J118" s="15">
        <f t="shared" si="11"/>
        <v>3.6099999999966737E-12</v>
      </c>
      <c r="K118" s="3">
        <f t="shared" si="8"/>
        <v>0.002255943999999843</v>
      </c>
      <c r="L118" s="3"/>
      <c r="M118" s="3">
        <v>4</v>
      </c>
    </row>
    <row r="119" spans="1:13" ht="12.75">
      <c r="A119" s="3"/>
      <c r="B119" s="3"/>
      <c r="C119" s="11" t="s">
        <v>229</v>
      </c>
      <c r="D119" s="22">
        <f>AVERAGE(D94:D118)</f>
        <v>1.3772655560000002</v>
      </c>
      <c r="E119" s="3"/>
      <c r="F119" s="8"/>
      <c r="G119" s="9"/>
      <c r="H119" s="9"/>
      <c r="I119" s="9" t="s">
        <v>230</v>
      </c>
      <c r="J119" s="3">
        <f>SUM(J94:J118)</f>
        <v>8.326855996999847E-05</v>
      </c>
      <c r="K119" s="15">
        <f>SUM(K94:K118)</f>
        <v>-5.329070518200751E-15</v>
      </c>
      <c r="L119" s="4">
        <f>SUM(L94:L118)</f>
        <v>0.00014012995275046583</v>
      </c>
      <c r="M119" s="3">
        <v>4</v>
      </c>
    </row>
    <row r="120" spans="1:13" ht="12.75">
      <c r="A120" s="3"/>
      <c r="B120" s="3"/>
      <c r="C120" s="11" t="s">
        <v>231</v>
      </c>
      <c r="D120" s="22">
        <f>STDEV(D94:D118)</f>
        <v>0.002459837698468489</v>
      </c>
      <c r="E120" s="3"/>
      <c r="F120" s="10"/>
      <c r="G120" s="3"/>
      <c r="H120" s="3"/>
      <c r="I120" s="3"/>
      <c r="J120" s="3"/>
      <c r="K120" s="3"/>
      <c r="L120" s="4"/>
      <c r="M120" s="3"/>
    </row>
    <row r="121" spans="1:12" ht="15.75">
      <c r="A121" s="3"/>
      <c r="B121" s="3"/>
      <c r="C121" s="11" t="s">
        <v>232</v>
      </c>
      <c r="D121" s="22">
        <f>VAR(D94:D118)</f>
        <v>6.0508015028067535E-06</v>
      </c>
      <c r="E121" s="3"/>
      <c r="F121" s="3"/>
      <c r="G121" s="3"/>
      <c r="H121" s="3"/>
      <c r="I121" s="3"/>
      <c r="J121" s="2" t="s">
        <v>233</v>
      </c>
      <c r="L121" s="2" t="s">
        <v>234</v>
      </c>
    </row>
    <row r="122" spans="1:11" ht="13.5">
      <c r="A122" s="3"/>
      <c r="B122" s="3"/>
      <c r="C122" s="3"/>
      <c r="D122" s="3"/>
      <c r="E122" s="3"/>
      <c r="F122" s="3"/>
      <c r="G122" s="3"/>
      <c r="H122" s="3"/>
      <c r="I122" s="3"/>
      <c r="J122" s="6" t="s">
        <v>237</v>
      </c>
      <c r="K122" s="19">
        <f>J119/L119</f>
        <v>0.5942238496167741</v>
      </c>
    </row>
    <row r="123" spans="1:11" ht="13.5">
      <c r="A123" s="3"/>
      <c r="B123" s="3"/>
      <c r="C123" s="3"/>
      <c r="D123" s="3"/>
      <c r="E123" s="3"/>
      <c r="F123" s="3"/>
      <c r="G123" s="3"/>
      <c r="H123" s="3"/>
      <c r="I123" s="11"/>
      <c r="J123" s="6" t="s">
        <v>239</v>
      </c>
      <c r="K123" s="19">
        <f>(M118-(K130+1))/K131</f>
        <v>-3.881729780259894</v>
      </c>
    </row>
    <row r="124" spans="1:11" ht="13.5">
      <c r="A124" s="3"/>
      <c r="B124" s="3"/>
      <c r="C124" s="3"/>
      <c r="D124" s="3"/>
      <c r="E124" s="3"/>
      <c r="F124" s="3"/>
      <c r="G124" s="3"/>
      <c r="H124" s="3"/>
      <c r="I124" s="3"/>
      <c r="J124" s="6" t="s">
        <v>14</v>
      </c>
      <c r="K124" s="19">
        <f>((K125)*(K127))/K128</f>
        <v>-4.492907553805959</v>
      </c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11"/>
      <c r="J125" t="s">
        <v>16</v>
      </c>
      <c r="K125">
        <f>D119-D118</f>
        <v>-0.002255943999999843</v>
      </c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11"/>
      <c r="J126" t="s">
        <v>20</v>
      </c>
      <c r="K126">
        <f>A118</f>
        <v>25</v>
      </c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11"/>
      <c r="J127" t="s">
        <v>23</v>
      </c>
      <c r="K127">
        <f>(K126-1)^0.5</f>
        <v>4.898979485566356</v>
      </c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11"/>
      <c r="J128" t="s">
        <v>231</v>
      </c>
      <c r="K128">
        <f>D120</f>
        <v>0.002459837698468489</v>
      </c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11"/>
      <c r="J129" t="s">
        <v>24</v>
      </c>
      <c r="K129">
        <f>A118</f>
        <v>25</v>
      </c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t="s">
        <v>25</v>
      </c>
      <c r="K130">
        <f>K129/2</f>
        <v>12.5</v>
      </c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t="s">
        <v>26</v>
      </c>
      <c r="K131">
        <f>((K130*(K130-1))/(K129-1))^0.5</f>
        <v>2.447362525931402</v>
      </c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3.5">
      <c r="A136" s="3"/>
      <c r="B136" s="6" t="s">
        <v>79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 t="s">
        <v>80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3.5">
      <c r="A140" s="6" t="s">
        <v>191</v>
      </c>
      <c r="B140" s="5" t="s">
        <v>81</v>
      </c>
      <c r="C140" s="5" t="s">
        <v>193</v>
      </c>
      <c r="D140" s="5" t="s">
        <v>82</v>
      </c>
      <c r="E140" s="6" t="s">
        <v>195</v>
      </c>
      <c r="F140" s="6"/>
      <c r="G140" s="6"/>
      <c r="H140" s="6"/>
      <c r="I140" s="6"/>
      <c r="J140" s="5" t="s">
        <v>199</v>
      </c>
      <c r="K140" s="5" t="s">
        <v>200</v>
      </c>
      <c r="L140" s="5" t="s">
        <v>201</v>
      </c>
      <c r="M140" s="5" t="s">
        <v>202</v>
      </c>
    </row>
    <row r="141" spans="1:13" ht="12.75">
      <c r="A141" s="3">
        <v>1</v>
      </c>
      <c r="B141" s="4" t="s">
        <v>83</v>
      </c>
      <c r="C141" s="4">
        <v>1970.33</v>
      </c>
      <c r="D141" s="21">
        <v>483593.718</v>
      </c>
      <c r="E141" s="16">
        <v>0.06</v>
      </c>
      <c r="F141" s="3"/>
      <c r="G141" s="3"/>
      <c r="H141" s="3"/>
      <c r="I141" s="3"/>
      <c r="J141" s="3"/>
      <c r="K141" s="16">
        <f aca="true" t="shared" si="12" ref="K141:K151">D141-$D$152</f>
        <v>-0.08018181822262704</v>
      </c>
      <c r="L141" s="3">
        <f aca="true" t="shared" si="13" ref="L141:L150">(K141)^2</f>
        <v>0.006429123973486406</v>
      </c>
      <c r="M141" s="3">
        <v>1</v>
      </c>
    </row>
    <row r="142" spans="1:13" ht="12.75">
      <c r="A142" s="3">
        <f aca="true" t="shared" si="14" ref="A142:A151">A141+1</f>
        <v>2</v>
      </c>
      <c r="B142" s="4" t="s">
        <v>84</v>
      </c>
      <c r="C142" s="4">
        <v>1970.5</v>
      </c>
      <c r="D142" s="21">
        <v>483594.2</v>
      </c>
      <c r="E142" s="16">
        <v>0.4</v>
      </c>
      <c r="F142" s="3"/>
      <c r="G142" s="3"/>
      <c r="H142" s="3"/>
      <c r="I142" s="3"/>
      <c r="J142" s="3">
        <f aca="true" t="shared" si="15" ref="J142:J151">D141-D142</f>
        <v>-0.4820000000181608</v>
      </c>
      <c r="K142" s="16">
        <f t="shared" si="12"/>
        <v>0.40181818179553375</v>
      </c>
      <c r="L142" s="3">
        <f t="shared" si="13"/>
        <v>0.1614578512214686</v>
      </c>
      <c r="M142" s="3">
        <v>2</v>
      </c>
    </row>
    <row r="143" spans="1:13" ht="12.75">
      <c r="A143" s="3">
        <f t="shared" si="14"/>
        <v>3</v>
      </c>
      <c r="B143" s="4" t="s">
        <v>85</v>
      </c>
      <c r="C143" s="4">
        <v>1970.52</v>
      </c>
      <c r="D143" s="21">
        <v>483593.84</v>
      </c>
      <c r="E143" s="16">
        <v>0.05</v>
      </c>
      <c r="F143" s="3"/>
      <c r="G143" s="3"/>
      <c r="H143" s="3"/>
      <c r="I143" s="3"/>
      <c r="J143" s="3">
        <f t="shared" si="15"/>
        <v>0.35999999998603016</v>
      </c>
      <c r="K143" s="16">
        <f t="shared" si="12"/>
        <v>0.041818181809503585</v>
      </c>
      <c r="L143" s="3">
        <f t="shared" si="13"/>
        <v>0.0017487603298526966</v>
      </c>
      <c r="M143" s="3">
        <v>2</v>
      </c>
    </row>
    <row r="144" spans="1:13" ht="12.75">
      <c r="A144" s="3">
        <f t="shared" si="14"/>
        <v>4</v>
      </c>
      <c r="B144" s="4" t="s">
        <v>86</v>
      </c>
      <c r="C144" s="4">
        <v>1970.79</v>
      </c>
      <c r="D144" s="21">
        <v>483593.7</v>
      </c>
      <c r="E144" s="16">
        <v>0.2</v>
      </c>
      <c r="F144" s="3"/>
      <c r="G144" s="3"/>
      <c r="H144" s="3"/>
      <c r="I144" s="3"/>
      <c r="J144" s="3">
        <f t="shared" si="15"/>
        <v>0.14000000001396984</v>
      </c>
      <c r="K144" s="16">
        <f t="shared" si="12"/>
        <v>-0.09818181820446625</v>
      </c>
      <c r="L144" s="3">
        <f t="shared" si="13"/>
        <v>0.00963966942593486</v>
      </c>
      <c r="M144" s="3">
        <v>3</v>
      </c>
    </row>
    <row r="145" spans="1:13" ht="12.75">
      <c r="A145" s="3">
        <f t="shared" si="14"/>
        <v>5</v>
      </c>
      <c r="B145" s="4" t="s">
        <v>85</v>
      </c>
      <c r="C145" s="4">
        <v>1971.49</v>
      </c>
      <c r="D145" s="21">
        <v>483593.8</v>
      </c>
      <c r="E145" s="16">
        <v>0.05</v>
      </c>
      <c r="F145" s="3"/>
      <c r="G145" s="3"/>
      <c r="H145" s="3"/>
      <c r="I145" s="3"/>
      <c r="J145" s="3">
        <f t="shared" si="15"/>
        <v>-0.09999999997671694</v>
      </c>
      <c r="K145" s="16">
        <f t="shared" si="12"/>
        <v>0.0018181817722506821</v>
      </c>
      <c r="L145" s="3">
        <f t="shared" si="13"/>
        <v>3.3057849569446313E-06</v>
      </c>
      <c r="M145" s="3">
        <v>4</v>
      </c>
    </row>
    <row r="146" spans="1:13" ht="12.75">
      <c r="A146" s="3">
        <f t="shared" si="14"/>
        <v>6</v>
      </c>
      <c r="B146" s="4" t="s">
        <v>83</v>
      </c>
      <c r="C146" s="4">
        <v>1971.57</v>
      </c>
      <c r="D146" s="21">
        <v>483593.589</v>
      </c>
      <c r="E146" s="16">
        <v>0.024</v>
      </c>
      <c r="F146" s="3"/>
      <c r="G146" s="3"/>
      <c r="H146" s="3"/>
      <c r="I146" s="3"/>
      <c r="J146" s="3">
        <f t="shared" si="15"/>
        <v>0.21100000001024455</v>
      </c>
      <c r="K146" s="16">
        <f t="shared" si="12"/>
        <v>-0.20918181823799387</v>
      </c>
      <c r="L146" s="3">
        <f t="shared" si="13"/>
        <v>0.043757033081353106</v>
      </c>
      <c r="M146" s="3">
        <v>5</v>
      </c>
    </row>
    <row r="147" spans="1:13" ht="12.75">
      <c r="A147" s="3">
        <f t="shared" si="14"/>
        <v>7</v>
      </c>
      <c r="B147" s="4" t="s">
        <v>84</v>
      </c>
      <c r="C147" s="4">
        <v>1971.58</v>
      </c>
      <c r="D147" s="21">
        <v>483594.15</v>
      </c>
      <c r="E147" s="16">
        <v>0.1</v>
      </c>
      <c r="F147" s="3"/>
      <c r="G147" s="3"/>
      <c r="H147" s="3"/>
      <c r="I147" s="3"/>
      <c r="J147" s="3">
        <f t="shared" si="15"/>
        <v>-0.5610000000451691</v>
      </c>
      <c r="K147" s="16">
        <f t="shared" si="12"/>
        <v>0.3518181818071753</v>
      </c>
      <c r="L147" s="3">
        <f t="shared" si="13"/>
        <v>0.12377603305010663</v>
      </c>
      <c r="M147" s="3">
        <v>6</v>
      </c>
    </row>
    <row r="148" spans="1:13" ht="12.75">
      <c r="A148" s="3">
        <f t="shared" si="14"/>
        <v>8</v>
      </c>
      <c r="B148" s="4" t="s">
        <v>85</v>
      </c>
      <c r="C148" s="4">
        <v>1972.26</v>
      </c>
      <c r="D148" s="21">
        <v>483593.733</v>
      </c>
      <c r="E148" s="16">
        <v>0.048</v>
      </c>
      <c r="F148" s="3"/>
      <c r="G148" s="3"/>
      <c r="H148" s="3"/>
      <c r="I148" s="3"/>
      <c r="J148" s="3">
        <f t="shared" si="15"/>
        <v>0.4170000000158325</v>
      </c>
      <c r="K148" s="16">
        <f t="shared" si="12"/>
        <v>-0.0651818182086572</v>
      </c>
      <c r="L148" s="3">
        <f t="shared" si="13"/>
        <v>0.004248669424986436</v>
      </c>
      <c r="M148" s="3">
        <v>7</v>
      </c>
    </row>
    <row r="149" spans="1:13" ht="12.75">
      <c r="A149" s="3">
        <f t="shared" si="14"/>
        <v>9</v>
      </c>
      <c r="B149" s="4" t="s">
        <v>84</v>
      </c>
      <c r="C149" s="4">
        <v>1972.28</v>
      </c>
      <c r="D149" s="21">
        <v>483594</v>
      </c>
      <c r="E149" s="16">
        <v>0.1</v>
      </c>
      <c r="F149" s="3"/>
      <c r="G149" s="3"/>
      <c r="H149" s="3"/>
      <c r="I149" s="3"/>
      <c r="J149" s="3">
        <f t="shared" si="15"/>
        <v>-0.2669999999925494</v>
      </c>
      <c r="K149" s="16">
        <f t="shared" si="12"/>
        <v>0.20181818178389221</v>
      </c>
      <c r="L149" s="3">
        <f t="shared" si="13"/>
        <v>0.040730578498556165</v>
      </c>
      <c r="M149" s="3">
        <v>8</v>
      </c>
    </row>
    <row r="150" spans="1:13" ht="12.75">
      <c r="A150" s="3">
        <f t="shared" si="14"/>
        <v>10</v>
      </c>
      <c r="B150" s="4" t="s">
        <v>83</v>
      </c>
      <c r="C150" s="4">
        <v>1972.29</v>
      </c>
      <c r="D150" s="21">
        <v>483593.444</v>
      </c>
      <c r="E150" s="16">
        <v>0.024</v>
      </c>
      <c r="F150" s="3"/>
      <c r="G150" s="3"/>
      <c r="H150" s="3"/>
      <c r="I150" s="3"/>
      <c r="J150" s="3">
        <f t="shared" si="15"/>
        <v>0.5559999999823049</v>
      </c>
      <c r="K150" s="16">
        <f t="shared" si="12"/>
        <v>-0.35418181819841266</v>
      </c>
      <c r="L150" s="3">
        <f t="shared" si="13"/>
        <v>0.12544476034233343</v>
      </c>
      <c r="M150" s="3">
        <v>9</v>
      </c>
    </row>
    <row r="151" spans="1:13" ht="12.75">
      <c r="A151" s="3">
        <f t="shared" si="14"/>
        <v>11</v>
      </c>
      <c r="B151" s="4" t="s">
        <v>86</v>
      </c>
      <c r="C151" s="4">
        <v>1972.38</v>
      </c>
      <c r="D151" s="21">
        <v>483593.606</v>
      </c>
      <c r="E151" s="16">
        <v>0.04</v>
      </c>
      <c r="F151" s="3"/>
      <c r="G151" s="3"/>
      <c r="H151" s="3"/>
      <c r="I151" s="3"/>
      <c r="J151" s="3">
        <f t="shared" si="15"/>
        <v>-0.16200000001117587</v>
      </c>
      <c r="K151" s="16">
        <f t="shared" si="12"/>
        <v>-0.19218181818723679</v>
      </c>
      <c r="L151" s="3"/>
      <c r="M151" s="3">
        <v>9</v>
      </c>
    </row>
    <row r="152" spans="1:13" ht="12.75">
      <c r="A152" s="3"/>
      <c r="B152" s="3"/>
      <c r="C152" s="11" t="s">
        <v>229</v>
      </c>
      <c r="D152" s="20">
        <f>AVERAGE(D141:D151)</f>
        <v>483593.7981818182</v>
      </c>
      <c r="E152" s="3">
        <f>AVERAGE(E141:E151)</f>
        <v>0.09963636363636365</v>
      </c>
      <c r="F152" s="8"/>
      <c r="G152" s="9"/>
      <c r="H152" s="9"/>
      <c r="I152" s="9" t="s">
        <v>230</v>
      </c>
      <c r="J152" s="3">
        <f>SUM(J141:J151)</f>
        <v>0.11199999996460974</v>
      </c>
      <c r="K152" s="16">
        <f>SUM(K141:K151)</f>
        <v>-2.9103830456733704E-10</v>
      </c>
      <c r="L152" s="4">
        <f>SUM(L141:L151)</f>
        <v>0.5172357851330353</v>
      </c>
      <c r="M152" s="3"/>
    </row>
    <row r="153" spans="1:13" ht="12.75">
      <c r="A153" s="3"/>
      <c r="B153" s="3"/>
      <c r="C153" s="11" t="s">
        <v>231</v>
      </c>
      <c r="D153" s="20">
        <f>STDEV(D141:D151)</f>
        <v>0.2352068570960464</v>
      </c>
      <c r="E153" s="3">
        <f>STDEV(E141:E151)</f>
        <v>0.11155919749377255</v>
      </c>
      <c r="F153" s="10"/>
      <c r="G153" s="3"/>
      <c r="H153" s="3"/>
      <c r="I153" s="3"/>
      <c r="J153" s="3"/>
      <c r="K153" s="3"/>
      <c r="L153" s="4"/>
      <c r="M153" s="3"/>
    </row>
    <row r="154" spans="1:12" ht="15.75">
      <c r="A154" s="3"/>
      <c r="B154" s="3"/>
      <c r="C154" s="11" t="s">
        <v>232</v>
      </c>
      <c r="D154" s="20">
        <f>VAR(D141:D151)</f>
        <v>0.055322265625</v>
      </c>
      <c r="E154" s="3">
        <f>VAR(E141:E151)</f>
        <v>0.012445454545454546</v>
      </c>
      <c r="F154" s="3"/>
      <c r="G154" s="3"/>
      <c r="H154" s="3"/>
      <c r="I154" s="3"/>
      <c r="J154" s="2" t="s">
        <v>233</v>
      </c>
      <c r="L154" s="2" t="s">
        <v>234</v>
      </c>
    </row>
    <row r="155" spans="1:11" ht="13.5">
      <c r="A155" s="3"/>
      <c r="B155" s="3"/>
      <c r="C155" s="3"/>
      <c r="D155" s="3"/>
      <c r="E155" s="3"/>
      <c r="F155" s="3"/>
      <c r="G155" s="3"/>
      <c r="H155" s="3"/>
      <c r="I155" s="3"/>
      <c r="J155" s="6" t="s">
        <v>237</v>
      </c>
      <c r="K155" s="19">
        <f>J152/L152</f>
        <v>0.21653567518690314</v>
      </c>
    </row>
    <row r="156" spans="1:11" ht="13.5">
      <c r="A156" s="3"/>
      <c r="B156" s="3" t="s">
        <v>87</v>
      </c>
      <c r="C156" s="3"/>
      <c r="D156" s="3"/>
      <c r="E156" s="3"/>
      <c r="F156" s="3"/>
      <c r="G156" s="3"/>
      <c r="H156" s="3"/>
      <c r="I156" s="11"/>
      <c r="J156" s="6" t="s">
        <v>239</v>
      </c>
      <c r="K156" s="19">
        <f>(M151-(K163+1))/K164</f>
        <v>1.5891043154093203</v>
      </c>
    </row>
    <row r="157" spans="1:11" ht="13.5">
      <c r="A157" s="3"/>
      <c r="B157" s="3"/>
      <c r="C157" s="3"/>
      <c r="D157" s="3" t="s">
        <v>88</v>
      </c>
      <c r="E157" s="3">
        <v>483597.2</v>
      </c>
      <c r="F157" s="3"/>
      <c r="G157" s="3"/>
      <c r="H157" s="3"/>
      <c r="I157" s="3"/>
      <c r="J157" s="6" t="s">
        <v>14</v>
      </c>
      <c r="K157" s="19">
        <f>((K158)*(K160))/K161</f>
        <v>-45.73630961725671</v>
      </c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11"/>
      <c r="J158" t="s">
        <v>16</v>
      </c>
      <c r="K158">
        <f>D152-E157</f>
        <v>-3.4018181817955337</v>
      </c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11"/>
      <c r="J159" t="s">
        <v>20</v>
      </c>
      <c r="K159">
        <f>A151</f>
        <v>11</v>
      </c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11"/>
      <c r="J160" t="s">
        <v>23</v>
      </c>
      <c r="K160">
        <f>(K159-1)^0.5</f>
        <v>3.1622776601683795</v>
      </c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11"/>
      <c r="J161" t="s">
        <v>231</v>
      </c>
      <c r="K161">
        <f>D153</f>
        <v>0.2352068570960464</v>
      </c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11"/>
      <c r="J162" t="s">
        <v>24</v>
      </c>
      <c r="K162">
        <f>A151</f>
        <v>11</v>
      </c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t="s">
        <v>25</v>
      </c>
      <c r="K163">
        <f>K162/2</f>
        <v>5.5</v>
      </c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t="s">
        <v>26</v>
      </c>
      <c r="K164">
        <f>((K163*(K163-1))/(K162-1))^0.5</f>
        <v>1.5732132722552274</v>
      </c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3.5">
      <c r="A167" s="3"/>
      <c r="B167" s="6" t="s">
        <v>89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 t="s">
        <v>90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3.5">
      <c r="A170" s="6" t="s">
        <v>191</v>
      </c>
      <c r="B170" s="5" t="s">
        <v>81</v>
      </c>
      <c r="C170" s="5" t="s">
        <v>193</v>
      </c>
      <c r="D170" s="5" t="s">
        <v>91</v>
      </c>
      <c r="E170" s="6" t="s">
        <v>195</v>
      </c>
      <c r="F170" s="6"/>
      <c r="G170" s="6"/>
      <c r="H170" s="6"/>
      <c r="I170" s="6"/>
      <c r="J170" s="5" t="s">
        <v>199</v>
      </c>
      <c r="K170" s="5" t="s">
        <v>200</v>
      </c>
      <c r="L170" s="5" t="s">
        <v>201</v>
      </c>
      <c r="M170" s="5" t="s">
        <v>202</v>
      </c>
    </row>
    <row r="171" spans="1:13" ht="12.75">
      <c r="A171" s="3">
        <v>1</v>
      </c>
      <c r="B171" s="3" t="s">
        <v>92</v>
      </c>
      <c r="C171" s="3">
        <v>1980</v>
      </c>
      <c r="D171" s="20">
        <v>25812.776</v>
      </c>
      <c r="E171" s="3">
        <v>0.036</v>
      </c>
      <c r="F171" s="3"/>
      <c r="G171" s="3"/>
      <c r="H171" s="3"/>
      <c r="I171" s="3"/>
      <c r="J171" s="3"/>
      <c r="K171" s="3">
        <f aca="true" t="shared" si="16" ref="K171:K176">D171-$D$177</f>
        <v>-0.04973333332964103</v>
      </c>
      <c r="L171" s="3">
        <f>(K171)^2</f>
        <v>0.0024734044440771832</v>
      </c>
      <c r="M171" s="3">
        <v>1</v>
      </c>
    </row>
    <row r="172" spans="1:13" ht="12.75">
      <c r="A172" s="3">
        <v>2</v>
      </c>
      <c r="B172" s="3" t="s">
        <v>92</v>
      </c>
      <c r="C172" s="3">
        <v>1981</v>
      </c>
      <c r="D172" s="20">
        <v>25812.79</v>
      </c>
      <c r="E172" s="3">
        <v>0.04</v>
      </c>
      <c r="F172" s="3"/>
      <c r="G172" s="3"/>
      <c r="H172" s="3"/>
      <c r="I172" s="3"/>
      <c r="J172" s="3">
        <f>(D171-D172)^2</f>
        <v>0.0001959999999779975</v>
      </c>
      <c r="K172" s="3">
        <f t="shared" si="16"/>
        <v>-0.03573333333042683</v>
      </c>
      <c r="L172" s="3">
        <f>(K172)^2</f>
        <v>0.001276871110903393</v>
      </c>
      <c r="M172" s="3">
        <v>1</v>
      </c>
    </row>
    <row r="173" spans="1:13" ht="12.75">
      <c r="A173" s="3">
        <v>3</v>
      </c>
      <c r="B173" s="3" t="s">
        <v>93</v>
      </c>
      <c r="C173" s="3">
        <v>1983.5</v>
      </c>
      <c r="D173" s="20">
        <v>25812.8495</v>
      </c>
      <c r="E173" s="3">
        <v>0.0031</v>
      </c>
      <c r="F173" s="3"/>
      <c r="G173" s="3"/>
      <c r="H173" s="3"/>
      <c r="I173" s="3"/>
      <c r="J173" s="3">
        <f>(D172-D173)^2</f>
        <v>0.0035402499999272695</v>
      </c>
      <c r="K173" s="3">
        <f t="shared" si="16"/>
        <v>0.02376666666896199</v>
      </c>
      <c r="L173" s="3">
        <f>(K173)^2</f>
        <v>0.0005648544445535488</v>
      </c>
      <c r="M173" s="3">
        <v>2</v>
      </c>
    </row>
    <row r="174" spans="1:13" ht="12.75">
      <c r="A174" s="3">
        <v>4</v>
      </c>
      <c r="B174" s="3" t="s">
        <v>94</v>
      </c>
      <c r="C174" s="3">
        <v>1984</v>
      </c>
      <c r="D174" s="20">
        <v>25812.8418</v>
      </c>
      <c r="E174" s="3">
        <v>0.0044</v>
      </c>
      <c r="F174" s="3"/>
      <c r="G174" s="3"/>
      <c r="H174" s="3"/>
      <c r="I174" s="3"/>
      <c r="J174" s="3">
        <f>(D173-D174)^2</f>
        <v>5.929000002976041E-05</v>
      </c>
      <c r="K174" s="3">
        <f t="shared" si="16"/>
        <v>0.016066666667029494</v>
      </c>
      <c r="L174" s="3">
        <f>(K174)^2</f>
        <v>0.00025813777778943667</v>
      </c>
      <c r="M174" s="3">
        <v>2</v>
      </c>
    </row>
    <row r="175" spans="1:13" ht="12.75">
      <c r="A175" s="3">
        <v>5</v>
      </c>
      <c r="B175" s="3" t="s">
        <v>95</v>
      </c>
      <c r="C175" s="3">
        <v>1984.5</v>
      </c>
      <c r="D175" s="20">
        <v>25812.8502</v>
      </c>
      <c r="E175" s="3">
        <v>0.0039</v>
      </c>
      <c r="F175" s="3"/>
      <c r="G175" s="3"/>
      <c r="H175" s="3"/>
      <c r="I175" s="3"/>
      <c r="J175" s="3">
        <f>(D174-D175)^2</f>
        <v>7.056000004097353E-05</v>
      </c>
      <c r="K175" s="3">
        <f t="shared" si="16"/>
        <v>0.024466666669468395</v>
      </c>
      <c r="L175" s="3">
        <f>(K175)^2</f>
        <v>0.0005986177779148757</v>
      </c>
      <c r="M175" s="3">
        <v>2</v>
      </c>
    </row>
    <row r="176" spans="1:13" ht="12.75">
      <c r="A176" s="3">
        <v>6</v>
      </c>
      <c r="B176" s="3" t="s">
        <v>96</v>
      </c>
      <c r="C176" s="3">
        <v>1985</v>
      </c>
      <c r="D176" s="20">
        <v>25812.8469</v>
      </c>
      <c r="E176" s="3">
        <v>0.0048</v>
      </c>
      <c r="F176" s="3"/>
      <c r="G176" s="3"/>
      <c r="H176" s="3"/>
      <c r="I176" s="3"/>
      <c r="J176" s="3">
        <f>(D175-D176)^2</f>
        <v>1.0890000002036104E-05</v>
      </c>
      <c r="K176" s="3">
        <f t="shared" si="16"/>
        <v>0.021166666669159895</v>
      </c>
      <c r="L176" s="3"/>
      <c r="M176" s="3">
        <v>2</v>
      </c>
    </row>
    <row r="177" spans="1:13" ht="12.75">
      <c r="A177" s="3"/>
      <c r="B177" s="3"/>
      <c r="C177" s="11" t="s">
        <v>229</v>
      </c>
      <c r="D177" s="20">
        <f>AVERAGE(D171:D176)</f>
        <v>25812.82573333333</v>
      </c>
      <c r="E177" s="3">
        <f>AVERAGE(E171:E176)</f>
        <v>0.015366666666666667</v>
      </c>
      <c r="F177" s="8"/>
      <c r="G177" s="9"/>
      <c r="H177" s="9"/>
      <c r="I177" s="9" t="s">
        <v>230</v>
      </c>
      <c r="J177" s="3">
        <f>SUM(J171:J176)</f>
        <v>0.0038769899999780374</v>
      </c>
      <c r="K177" s="15">
        <f>SUM(K171:K176)</f>
        <v>1.4551915228366852E-11</v>
      </c>
      <c r="L177" s="4">
        <f>SUM(L171:L176)</f>
        <v>0.005171885555238437</v>
      </c>
      <c r="M177" s="3"/>
    </row>
    <row r="178" spans="1:13" ht="12.75">
      <c r="A178" s="3"/>
      <c r="B178" s="3"/>
      <c r="C178" s="11" t="s">
        <v>231</v>
      </c>
      <c r="D178" s="20">
        <f>STDEV(D171:D176)</f>
        <v>0.03352611742084678</v>
      </c>
      <c r="E178" s="3">
        <f>STDEV(E171:E176)</f>
        <v>0.01758643416576159</v>
      </c>
      <c r="F178" s="10"/>
      <c r="G178" s="3"/>
      <c r="H178" s="3"/>
      <c r="I178" s="3"/>
      <c r="J178" s="3"/>
      <c r="K178" s="3"/>
      <c r="L178" s="4"/>
      <c r="M178" s="3"/>
    </row>
    <row r="179" spans="1:12" ht="15.75">
      <c r="A179" s="3"/>
      <c r="B179" s="3"/>
      <c r="C179" s="11" t="s">
        <v>232</v>
      </c>
      <c r="D179" s="20">
        <f>VAR(D171:D176)</f>
        <v>0.0011240005493164062</v>
      </c>
      <c r="E179" s="3">
        <f>VAR(E171:E176)</f>
        <v>0.0003092826666666666</v>
      </c>
      <c r="F179" s="3"/>
      <c r="G179" s="3"/>
      <c r="H179" s="3"/>
      <c r="I179" s="3"/>
      <c r="J179" s="2" t="s">
        <v>233</v>
      </c>
      <c r="L179" s="2" t="s">
        <v>234</v>
      </c>
    </row>
    <row r="180" spans="1:11" ht="13.5">
      <c r="A180" s="3"/>
      <c r="B180" s="3"/>
      <c r="C180" s="3"/>
      <c r="D180" s="3"/>
      <c r="E180" s="3"/>
      <c r="F180" s="3"/>
      <c r="G180" s="3"/>
      <c r="H180" s="3"/>
      <c r="I180" s="3"/>
      <c r="J180" s="6" t="s">
        <v>237</v>
      </c>
      <c r="K180" s="19">
        <f>J177/L177</f>
        <v>0.7496279564908699</v>
      </c>
    </row>
    <row r="181" spans="1:11" ht="13.5">
      <c r="A181" s="3"/>
      <c r="B181" s="3"/>
      <c r="C181" s="3"/>
      <c r="D181" s="3"/>
      <c r="E181" s="3"/>
      <c r="F181" s="3"/>
      <c r="G181" s="3"/>
      <c r="H181" s="3"/>
      <c r="I181" s="11"/>
      <c r="J181" s="6" t="s">
        <v>239</v>
      </c>
      <c r="K181" s="19">
        <f>(M176-(K188+1))/K189</f>
        <v>-1.8257418583505538</v>
      </c>
    </row>
    <row r="182" spans="1:11" ht="13.5">
      <c r="A182" s="3"/>
      <c r="B182" s="3"/>
      <c r="C182" s="3"/>
      <c r="D182" s="3"/>
      <c r="E182" s="3"/>
      <c r="F182" s="3"/>
      <c r="G182" s="3"/>
      <c r="H182" s="3"/>
      <c r="I182" s="3"/>
      <c r="J182" s="6" t="s">
        <v>14</v>
      </c>
      <c r="K182" s="19">
        <f>((K183)*(K185))/K186</f>
        <v>-1.4117383452188943</v>
      </c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11"/>
      <c r="J183" t="s">
        <v>16</v>
      </c>
      <c r="K183">
        <f>D177-D176</f>
        <v>-0.021166666669159895</v>
      </c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11"/>
      <c r="J184" t="s">
        <v>20</v>
      </c>
      <c r="K184">
        <f>A176</f>
        <v>6</v>
      </c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11"/>
      <c r="J185" t="s">
        <v>23</v>
      </c>
      <c r="K185">
        <f>(K184-1)^0.5</f>
        <v>2.23606797749979</v>
      </c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11"/>
      <c r="J186" t="s">
        <v>231</v>
      </c>
      <c r="K186">
        <f>D178</f>
        <v>0.03352611742084678</v>
      </c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11"/>
      <c r="J187" t="s">
        <v>24</v>
      </c>
      <c r="K187">
        <f>A176</f>
        <v>6</v>
      </c>
    </row>
    <row r="188" spans="10:11" ht="12.75">
      <c r="J188" t="s">
        <v>25</v>
      </c>
      <c r="K188">
        <f>K187/2</f>
        <v>3</v>
      </c>
    </row>
    <row r="189" spans="2:11" ht="15.75">
      <c r="B189" s="6" t="s">
        <v>97</v>
      </c>
      <c r="D189" s="2" t="s">
        <v>189</v>
      </c>
      <c r="J189" t="s">
        <v>26</v>
      </c>
      <c r="K189">
        <f>((K188*(K188-1))/(K187-1))^0.5</f>
        <v>1.0954451150103321</v>
      </c>
    </row>
    <row r="190" ht="12.75">
      <c r="B190" t="s">
        <v>98</v>
      </c>
    </row>
    <row r="192" spans="1:13" ht="13.5">
      <c r="A192" s="6" t="s">
        <v>191</v>
      </c>
      <c r="B192" s="5" t="s">
        <v>81</v>
      </c>
      <c r="C192" s="5" t="s">
        <v>193</v>
      </c>
      <c r="D192" s="5" t="s">
        <v>99</v>
      </c>
      <c r="E192" s="6" t="s">
        <v>195</v>
      </c>
      <c r="F192" s="6"/>
      <c r="G192" s="6"/>
      <c r="H192" s="6"/>
      <c r="I192" s="6"/>
      <c r="J192" s="5" t="s">
        <v>199</v>
      </c>
      <c r="K192" s="5" t="s">
        <v>200</v>
      </c>
      <c r="L192" s="5" t="s">
        <v>201</v>
      </c>
      <c r="M192" s="5" t="s">
        <v>202</v>
      </c>
    </row>
    <row r="193" spans="1:13" ht="12.75">
      <c r="A193" s="3">
        <v>1</v>
      </c>
      <c r="B193" s="3" t="s">
        <v>100</v>
      </c>
      <c r="C193" s="3">
        <v>1890</v>
      </c>
      <c r="D193" s="23">
        <v>109721.6</v>
      </c>
      <c r="E193" s="18" t="s">
        <v>210</v>
      </c>
      <c r="F193" s="3"/>
      <c r="G193" s="3"/>
      <c r="H193" s="3"/>
      <c r="I193" s="3"/>
      <c r="J193" s="3"/>
      <c r="K193" s="3">
        <f aca="true" t="shared" si="17" ref="K193:K215">D193-$D$216</f>
        <v>-15.02608869568212</v>
      </c>
      <c r="L193" s="3">
        <f aca="true" t="shared" si="18" ref="L193:L214">(K193)^2</f>
        <v>225.783341490506</v>
      </c>
      <c r="M193" s="3">
        <v>1</v>
      </c>
    </row>
    <row r="194" spans="1:13" ht="12.75">
      <c r="A194" s="3">
        <f aca="true" t="shared" si="19" ref="A194:A215">A193+1</f>
        <v>2</v>
      </c>
      <c r="B194" s="3" t="s">
        <v>101</v>
      </c>
      <c r="C194" s="3">
        <v>1913</v>
      </c>
      <c r="D194" s="23">
        <v>109737</v>
      </c>
      <c r="E194" s="18" t="s">
        <v>210</v>
      </c>
      <c r="F194" s="3"/>
      <c r="G194" s="3"/>
      <c r="H194" s="3"/>
      <c r="I194" s="3"/>
      <c r="J194" s="3">
        <f aca="true" t="shared" si="20" ref="J194:J215">(D193-D194)^2</f>
        <v>237.1599999998207</v>
      </c>
      <c r="K194" s="3">
        <f t="shared" si="17"/>
        <v>0.37391130431205966</v>
      </c>
      <c r="L194" s="3">
        <f t="shared" si="18"/>
        <v>0.1398096634923457</v>
      </c>
      <c r="M194" s="3">
        <v>2</v>
      </c>
    </row>
    <row r="195" spans="1:13" ht="12.75">
      <c r="A195" s="3">
        <f t="shared" si="19"/>
        <v>3</v>
      </c>
      <c r="B195" s="3" t="s">
        <v>35</v>
      </c>
      <c r="C195" s="3">
        <v>1916</v>
      </c>
      <c r="D195" s="23">
        <v>109737.35</v>
      </c>
      <c r="E195" s="3">
        <v>0.06</v>
      </c>
      <c r="F195" s="3"/>
      <c r="G195" s="3"/>
      <c r="H195" s="3"/>
      <c r="I195" s="3"/>
      <c r="J195" s="3">
        <f t="shared" si="20"/>
        <v>0.12250000000407453</v>
      </c>
      <c r="K195" s="3">
        <f t="shared" si="17"/>
        <v>0.7239113043178804</v>
      </c>
      <c r="L195" s="3">
        <f t="shared" si="18"/>
        <v>0.5240475765192149</v>
      </c>
      <c r="M195" s="3">
        <v>2</v>
      </c>
    </row>
    <row r="196" spans="1:13" ht="12.75">
      <c r="A196" s="3">
        <f t="shared" si="19"/>
        <v>4</v>
      </c>
      <c r="B196" s="3" t="s">
        <v>50</v>
      </c>
      <c r="C196" s="3">
        <v>1921</v>
      </c>
      <c r="D196" s="23">
        <v>109737.36</v>
      </c>
      <c r="E196" s="3">
        <v>0.2</v>
      </c>
      <c r="F196" s="3"/>
      <c r="G196" s="3"/>
      <c r="H196" s="3"/>
      <c r="I196" s="3"/>
      <c r="J196" s="3">
        <f t="shared" si="20"/>
        <v>9.999999989522622E-05</v>
      </c>
      <c r="K196" s="3">
        <f t="shared" si="17"/>
        <v>0.7339113043126417</v>
      </c>
      <c r="L196" s="3">
        <f t="shared" si="18"/>
        <v>0.5386258025978831</v>
      </c>
      <c r="M196" s="3">
        <v>2</v>
      </c>
    </row>
    <row r="197" spans="1:13" ht="12.75">
      <c r="A197" s="3">
        <f t="shared" si="19"/>
        <v>5</v>
      </c>
      <c r="B197" s="3" t="s">
        <v>102</v>
      </c>
      <c r="C197" s="3">
        <v>1925</v>
      </c>
      <c r="D197" s="23">
        <v>109737.36</v>
      </c>
      <c r="E197" s="3">
        <v>0.06</v>
      </c>
      <c r="F197" s="3"/>
      <c r="G197" s="3"/>
      <c r="H197" s="3"/>
      <c r="I197" s="3"/>
      <c r="J197" s="3">
        <f t="shared" si="20"/>
        <v>0</v>
      </c>
      <c r="K197" s="3">
        <f t="shared" si="17"/>
        <v>0.7339113043126417</v>
      </c>
      <c r="L197" s="3">
        <f t="shared" si="18"/>
        <v>0.5386258025978831</v>
      </c>
      <c r="M197" s="3">
        <v>2</v>
      </c>
    </row>
    <row r="198" spans="1:13" ht="12.75">
      <c r="A198" s="3">
        <f t="shared" si="19"/>
        <v>6</v>
      </c>
      <c r="B198" s="3" t="s">
        <v>103</v>
      </c>
      <c r="C198" s="3">
        <v>1927</v>
      </c>
      <c r="D198" s="23">
        <f>(109737.335+109737.313)/2</f>
        <v>109737.324</v>
      </c>
      <c r="E198" s="3"/>
      <c r="F198" s="3"/>
      <c r="G198" s="3"/>
      <c r="H198" s="3"/>
      <c r="I198" s="3"/>
      <c r="J198" s="3">
        <f t="shared" si="20"/>
        <v>0.0012960000005280599</v>
      </c>
      <c r="K198" s="3">
        <f t="shared" si="17"/>
        <v>0.6979113043053076</v>
      </c>
      <c r="L198" s="3">
        <f t="shared" si="18"/>
        <v>0.4870801886771356</v>
      </c>
      <c r="M198" s="3">
        <v>2</v>
      </c>
    </row>
    <row r="199" spans="1:13" ht="12.75">
      <c r="A199" s="3">
        <f t="shared" si="19"/>
        <v>7</v>
      </c>
      <c r="B199" s="3" t="s">
        <v>50</v>
      </c>
      <c r="C199" s="3">
        <v>1929</v>
      </c>
      <c r="D199" s="23">
        <v>109737.42</v>
      </c>
      <c r="E199" s="3">
        <v>0.06</v>
      </c>
      <c r="F199" s="3"/>
      <c r="G199" s="3"/>
      <c r="H199" s="3"/>
      <c r="I199" s="3"/>
      <c r="J199" s="3">
        <f t="shared" si="20"/>
        <v>0.009216000000961126</v>
      </c>
      <c r="K199" s="3">
        <f t="shared" si="17"/>
        <v>0.7939113043103134</v>
      </c>
      <c r="L199" s="3">
        <f t="shared" si="18"/>
        <v>0.6302951591117031</v>
      </c>
      <c r="M199" s="3">
        <v>2</v>
      </c>
    </row>
    <row r="200" spans="1:13" ht="12.75">
      <c r="A200" s="3">
        <f t="shared" si="19"/>
        <v>8</v>
      </c>
      <c r="B200" s="3" t="s">
        <v>104</v>
      </c>
      <c r="C200" s="3">
        <v>1939</v>
      </c>
      <c r="D200" s="23">
        <v>109737.314</v>
      </c>
      <c r="E200" s="3">
        <v>0.02</v>
      </c>
      <c r="F200" s="3"/>
      <c r="G200" s="3"/>
      <c r="H200" s="3"/>
      <c r="I200" s="3"/>
      <c r="J200" s="3">
        <f t="shared" si="20"/>
        <v>0.01123599999995064</v>
      </c>
      <c r="K200" s="3">
        <f t="shared" si="17"/>
        <v>0.6879113043105463</v>
      </c>
      <c r="L200" s="3">
        <f t="shared" si="18"/>
        <v>0.47322196259823696</v>
      </c>
      <c r="M200" s="3">
        <v>2</v>
      </c>
    </row>
    <row r="201" spans="1:13" ht="12.75">
      <c r="A201" s="3">
        <f t="shared" si="19"/>
        <v>9</v>
      </c>
      <c r="B201" s="3" t="s">
        <v>105</v>
      </c>
      <c r="C201" s="3">
        <v>1940</v>
      </c>
      <c r="D201" s="23">
        <v>109737.311</v>
      </c>
      <c r="E201" s="3">
        <v>0.009</v>
      </c>
      <c r="F201" s="3"/>
      <c r="G201" s="3"/>
      <c r="H201" s="3"/>
      <c r="I201" s="3"/>
      <c r="J201" s="3">
        <f t="shared" si="20"/>
        <v>8.999999981839209E-06</v>
      </c>
      <c r="K201" s="3">
        <f t="shared" si="17"/>
        <v>0.684911304313573</v>
      </c>
      <c r="L201" s="3">
        <f t="shared" si="18"/>
        <v>0.46910349477651986</v>
      </c>
      <c r="M201" s="3">
        <v>2</v>
      </c>
    </row>
    <row r="202" spans="1:13" ht="12.75">
      <c r="A202" s="3">
        <f t="shared" si="19"/>
        <v>10</v>
      </c>
      <c r="B202" s="3" t="s">
        <v>50</v>
      </c>
      <c r="C202" s="3">
        <v>1941</v>
      </c>
      <c r="D202" s="23">
        <v>109737.303</v>
      </c>
      <c r="E202" s="3">
        <v>0.017</v>
      </c>
      <c r="F202" s="3"/>
      <c r="G202" s="3"/>
      <c r="H202" s="3"/>
      <c r="I202" s="3"/>
      <c r="J202" s="3">
        <f t="shared" si="20"/>
        <v>6.400000002607704E-05</v>
      </c>
      <c r="K202" s="3">
        <f t="shared" si="17"/>
        <v>0.6769113043119432</v>
      </c>
      <c r="L202" s="3">
        <f t="shared" si="18"/>
        <v>0.4582089139052962</v>
      </c>
      <c r="M202" s="3">
        <v>2</v>
      </c>
    </row>
    <row r="203" spans="1:13" ht="12.75">
      <c r="A203" s="3">
        <f t="shared" si="19"/>
        <v>11</v>
      </c>
      <c r="B203" s="3" t="s">
        <v>106</v>
      </c>
      <c r="C203" s="3">
        <v>1947</v>
      </c>
      <c r="D203" s="23">
        <v>109737.3</v>
      </c>
      <c r="E203" s="3">
        <v>0.05</v>
      </c>
      <c r="F203" s="3"/>
      <c r="G203" s="3"/>
      <c r="H203" s="3"/>
      <c r="I203" s="3"/>
      <c r="J203" s="3">
        <f t="shared" si="20"/>
        <v>8.999999981839209E-06</v>
      </c>
      <c r="K203" s="3">
        <f t="shared" si="17"/>
        <v>0.67391130431497</v>
      </c>
      <c r="L203" s="3">
        <f t="shared" si="18"/>
        <v>0.45415644608350414</v>
      </c>
      <c r="M203" s="3">
        <v>2</v>
      </c>
    </row>
    <row r="204" spans="1:13" ht="12.75">
      <c r="A204" s="3">
        <f t="shared" si="19"/>
        <v>12</v>
      </c>
      <c r="B204" s="3" t="s">
        <v>223</v>
      </c>
      <c r="C204" s="3">
        <v>1951</v>
      </c>
      <c r="D204" s="23">
        <v>109737.323</v>
      </c>
      <c r="E204" s="3">
        <v>0.024</v>
      </c>
      <c r="F204" s="3"/>
      <c r="G204" s="3"/>
      <c r="H204" s="3"/>
      <c r="I204" s="3"/>
      <c r="J204" s="3">
        <f t="shared" si="20"/>
        <v>0.000529000000048196</v>
      </c>
      <c r="K204" s="3">
        <f t="shared" si="17"/>
        <v>0.6969113043160178</v>
      </c>
      <c r="L204" s="3">
        <f t="shared" si="18"/>
        <v>0.48568536608345314</v>
      </c>
      <c r="M204" s="3">
        <v>2</v>
      </c>
    </row>
    <row r="205" spans="1:13" ht="12.75">
      <c r="A205" s="3">
        <f t="shared" si="19"/>
        <v>13</v>
      </c>
      <c r="B205" s="3" t="s">
        <v>107</v>
      </c>
      <c r="C205" s="3">
        <v>1952</v>
      </c>
      <c r="D205" s="23">
        <f>(109737.311+109737.309)/2</f>
        <v>109737.31</v>
      </c>
      <c r="E205" s="3"/>
      <c r="F205" s="3"/>
      <c r="G205" s="3"/>
      <c r="H205" s="3"/>
      <c r="I205" s="3"/>
      <c r="J205" s="3">
        <f t="shared" si="20"/>
        <v>0.00016900000016344712</v>
      </c>
      <c r="K205" s="3">
        <f t="shared" si="17"/>
        <v>0.6839113043097313</v>
      </c>
      <c r="L205" s="3">
        <f t="shared" si="18"/>
        <v>0.467734672162638</v>
      </c>
      <c r="M205" s="3">
        <v>2</v>
      </c>
    </row>
    <row r="206" spans="1:13" ht="12.75">
      <c r="A206" s="3">
        <f t="shared" si="19"/>
        <v>14</v>
      </c>
      <c r="B206" s="3" t="s">
        <v>225</v>
      </c>
      <c r="C206" s="3">
        <v>1955</v>
      </c>
      <c r="D206" s="23">
        <v>109737.309</v>
      </c>
      <c r="E206" s="3">
        <v>0.012</v>
      </c>
      <c r="F206" s="3"/>
      <c r="G206" s="3"/>
      <c r="H206" s="3"/>
      <c r="I206" s="3"/>
      <c r="J206" s="3">
        <f t="shared" si="20"/>
        <v>1.0000000076834113E-06</v>
      </c>
      <c r="K206" s="3">
        <f t="shared" si="17"/>
        <v>0.6829113043058896</v>
      </c>
      <c r="L206" s="3">
        <f t="shared" si="18"/>
        <v>0.4663678495487714</v>
      </c>
      <c r="M206" s="3">
        <v>2</v>
      </c>
    </row>
    <row r="207" spans="1:13" ht="12.75">
      <c r="A207" s="3">
        <f t="shared" si="19"/>
        <v>15</v>
      </c>
      <c r="B207" s="3" t="s">
        <v>108</v>
      </c>
      <c r="C207" s="3">
        <v>1963</v>
      </c>
      <c r="D207" s="23">
        <v>109737.31</v>
      </c>
      <c r="E207" s="3">
        <v>0.03</v>
      </c>
      <c r="F207" s="3"/>
      <c r="G207" s="3"/>
      <c r="H207" s="3"/>
      <c r="I207" s="3"/>
      <c r="J207" s="3">
        <f t="shared" si="20"/>
        <v>1.0000000076834113E-06</v>
      </c>
      <c r="K207" s="3">
        <f t="shared" si="17"/>
        <v>0.6839113043097313</v>
      </c>
      <c r="L207" s="3">
        <f t="shared" si="18"/>
        <v>0.467734672162638</v>
      </c>
      <c r="M207" s="3">
        <v>2</v>
      </c>
    </row>
    <row r="208" spans="1:13" ht="12.75">
      <c r="A208" s="3">
        <f t="shared" si="19"/>
        <v>16</v>
      </c>
      <c r="B208" s="3" t="s">
        <v>108</v>
      </c>
      <c r="C208" s="3">
        <v>1965</v>
      </c>
      <c r="D208" s="23">
        <v>109737.31</v>
      </c>
      <c r="E208" s="3">
        <v>0.01</v>
      </c>
      <c r="F208" s="3"/>
      <c r="G208" s="3"/>
      <c r="H208" s="3"/>
      <c r="I208" s="3"/>
      <c r="J208" s="3">
        <f t="shared" si="20"/>
        <v>0</v>
      </c>
      <c r="K208" s="3">
        <f t="shared" si="17"/>
        <v>0.6839113043097313</v>
      </c>
      <c r="L208" s="3">
        <f t="shared" si="18"/>
        <v>0.467734672162638</v>
      </c>
      <c r="M208" s="3">
        <v>2</v>
      </c>
    </row>
    <row r="209" spans="1:13" ht="12.75">
      <c r="A209" s="3">
        <f t="shared" si="19"/>
        <v>17</v>
      </c>
      <c r="B209" s="3" t="s">
        <v>109</v>
      </c>
      <c r="C209" s="3">
        <v>1966</v>
      </c>
      <c r="D209" s="23">
        <v>109737.307</v>
      </c>
      <c r="E209" s="3">
        <v>0.007</v>
      </c>
      <c r="F209" s="3"/>
      <c r="G209" s="3"/>
      <c r="H209" s="3"/>
      <c r="I209" s="3"/>
      <c r="J209" s="3">
        <f t="shared" si="20"/>
        <v>8.999999981839209E-06</v>
      </c>
      <c r="K209" s="3">
        <f t="shared" si="17"/>
        <v>0.6809113043127581</v>
      </c>
      <c r="L209" s="3">
        <f t="shared" si="18"/>
        <v>0.46364020434090153</v>
      </c>
      <c r="M209" s="3">
        <v>2</v>
      </c>
    </row>
    <row r="210" spans="1:13" ht="12.75">
      <c r="A210" s="3">
        <f t="shared" si="19"/>
        <v>18</v>
      </c>
      <c r="B210" s="3" t="s">
        <v>78</v>
      </c>
      <c r="C210" s="3">
        <v>1969</v>
      </c>
      <c r="D210" s="23">
        <v>109737.312</v>
      </c>
      <c r="E210" s="3">
        <v>0.011</v>
      </c>
      <c r="F210" s="3"/>
      <c r="G210" s="3"/>
      <c r="H210" s="3"/>
      <c r="I210" s="3"/>
      <c r="J210" s="3">
        <f t="shared" si="20"/>
        <v>2.500000004656613E-05</v>
      </c>
      <c r="K210" s="3">
        <f t="shared" si="17"/>
        <v>0.6859113043174148</v>
      </c>
      <c r="L210" s="3">
        <f t="shared" si="18"/>
        <v>0.4704743173904172</v>
      </c>
      <c r="M210" s="3">
        <v>2</v>
      </c>
    </row>
    <row r="211" spans="1:13" ht="12.75">
      <c r="A211" s="3">
        <f t="shared" si="19"/>
        <v>19</v>
      </c>
      <c r="B211" s="3" t="s">
        <v>110</v>
      </c>
      <c r="C211" s="3">
        <v>1973</v>
      </c>
      <c r="D211" s="23">
        <v>109737.3177</v>
      </c>
      <c r="E211" s="3">
        <v>0.0083</v>
      </c>
      <c r="F211" s="3"/>
      <c r="G211" s="3"/>
      <c r="H211" s="3"/>
      <c r="I211" s="3"/>
      <c r="J211" s="3">
        <f t="shared" si="20"/>
        <v>3.248999993443955E-05</v>
      </c>
      <c r="K211" s="3">
        <f t="shared" si="17"/>
        <v>0.6916113043116638</v>
      </c>
      <c r="L211" s="3">
        <f t="shared" si="18"/>
        <v>0.4783261962516809</v>
      </c>
      <c r="M211" s="3">
        <v>2</v>
      </c>
    </row>
    <row r="212" spans="1:13" ht="12.75">
      <c r="A212" s="3">
        <f t="shared" si="19"/>
        <v>20</v>
      </c>
      <c r="B212" s="3" t="s">
        <v>111</v>
      </c>
      <c r="C212" s="3">
        <v>1974</v>
      </c>
      <c r="D212" s="23">
        <v>109737.3141</v>
      </c>
      <c r="E212" s="3">
        <v>0.001</v>
      </c>
      <c r="F212" s="3"/>
      <c r="G212" s="3"/>
      <c r="H212" s="3"/>
      <c r="I212" s="3"/>
      <c r="J212" s="3">
        <f t="shared" si="20"/>
        <v>1.2959999973848462E-05</v>
      </c>
      <c r="K212" s="3">
        <f t="shared" si="17"/>
        <v>0.688011304315296</v>
      </c>
      <c r="L212" s="3">
        <f t="shared" si="18"/>
        <v>0.47335955486563486</v>
      </c>
      <c r="M212" s="3">
        <v>2</v>
      </c>
    </row>
    <row r="213" spans="1:13" ht="12.75">
      <c r="A213" s="3">
        <f t="shared" si="19"/>
        <v>21</v>
      </c>
      <c r="B213" s="3" t="s">
        <v>112</v>
      </c>
      <c r="C213" s="3">
        <v>1978</v>
      </c>
      <c r="D213" s="23">
        <v>109737.3149</v>
      </c>
      <c r="E213" s="3">
        <v>0.00032</v>
      </c>
      <c r="F213" s="3"/>
      <c r="G213" s="3"/>
      <c r="H213" s="3"/>
      <c r="I213" s="3"/>
      <c r="J213" s="3">
        <f t="shared" si="20"/>
        <v>6.399999909475446E-07</v>
      </c>
      <c r="K213" s="3">
        <f t="shared" si="17"/>
        <v>0.6888113043096382</v>
      </c>
      <c r="L213" s="3">
        <f t="shared" si="18"/>
        <v>0.474461012944745</v>
      </c>
      <c r="M213" s="3">
        <v>2</v>
      </c>
    </row>
    <row r="214" spans="1:13" ht="12.75">
      <c r="A214" s="3">
        <f t="shared" si="19"/>
        <v>22</v>
      </c>
      <c r="B214" s="3" t="s">
        <v>113</v>
      </c>
      <c r="C214" s="3">
        <v>1979</v>
      </c>
      <c r="D214" s="23">
        <v>109737.31513</v>
      </c>
      <c r="E214" s="3">
        <v>0.00085</v>
      </c>
      <c r="F214" s="3"/>
      <c r="G214" s="3"/>
      <c r="H214" s="3"/>
      <c r="I214" s="3"/>
      <c r="J214" s="3">
        <f t="shared" si="20"/>
        <v>5.290000234767797E-08</v>
      </c>
      <c r="K214" s="3">
        <f t="shared" si="17"/>
        <v>0.6890413043147419</v>
      </c>
      <c r="L214" s="3">
        <f t="shared" si="18"/>
        <v>0.4747779190517607</v>
      </c>
      <c r="M214" s="3">
        <v>2</v>
      </c>
    </row>
    <row r="215" spans="1:13" ht="12.75">
      <c r="A215" s="3">
        <f t="shared" si="19"/>
        <v>23</v>
      </c>
      <c r="B215" s="3" t="s">
        <v>114</v>
      </c>
      <c r="C215" s="3">
        <v>1981</v>
      </c>
      <c r="D215" s="23">
        <v>109737.31521</v>
      </c>
      <c r="E215" s="3">
        <v>0.00011</v>
      </c>
      <c r="F215" s="3"/>
      <c r="G215" s="3"/>
      <c r="H215" s="3"/>
      <c r="I215" s="3"/>
      <c r="J215" s="3">
        <f t="shared" si="20"/>
        <v>6.399999676644806E-09</v>
      </c>
      <c r="K215" s="3">
        <f t="shared" si="17"/>
        <v>0.6891213043127209</v>
      </c>
      <c r="L215" s="3"/>
      <c r="M215" s="3">
        <v>2</v>
      </c>
    </row>
    <row r="216" spans="1:13" ht="12.75">
      <c r="A216" s="3"/>
      <c r="B216" s="3"/>
      <c r="C216" s="11" t="s">
        <v>229</v>
      </c>
      <c r="D216" s="24">
        <f>AVERAGE(D193:D215)</f>
        <v>109736.62608869569</v>
      </c>
      <c r="E216" s="3"/>
      <c r="F216" s="8"/>
      <c r="G216" s="9"/>
      <c r="H216" s="9"/>
      <c r="I216" s="9" t="s">
        <v>230</v>
      </c>
      <c r="J216" s="3">
        <f>SUM(J193:J215)</f>
        <v>237.30521014912622</v>
      </c>
      <c r="K216" s="15">
        <f>SUM(K193:K215)</f>
        <v>-8.149072527885437E-10</v>
      </c>
      <c r="L216" s="4">
        <f>SUM(L193:L215)</f>
        <v>235.68681293783106</v>
      </c>
      <c r="M216" s="3">
        <v>2</v>
      </c>
    </row>
    <row r="217" spans="1:13" ht="12.75">
      <c r="A217" s="3"/>
      <c r="B217" s="3"/>
      <c r="C217" s="11" t="s">
        <v>231</v>
      </c>
      <c r="D217" s="24">
        <f>STDEV(D193:D215)</f>
        <v>3.276372440108071</v>
      </c>
      <c r="E217" s="3"/>
      <c r="F217" s="10"/>
      <c r="G217" s="3"/>
      <c r="H217" s="3"/>
      <c r="I217" s="3"/>
      <c r="J217" s="3"/>
      <c r="K217" s="3"/>
      <c r="L217" s="4"/>
      <c r="M217" s="3"/>
    </row>
    <row r="218" spans="1:12" ht="15.75">
      <c r="A218" s="3"/>
      <c r="B218" s="3"/>
      <c r="C218" s="11" t="s">
        <v>232</v>
      </c>
      <c r="D218" s="24">
        <f>VAR(D193:D215)</f>
        <v>10.734616366299717</v>
      </c>
      <c r="E218" s="3"/>
      <c r="F218" s="3"/>
      <c r="G218" s="3"/>
      <c r="H218" s="3"/>
      <c r="I218" s="3"/>
      <c r="J218" s="2" t="s">
        <v>233</v>
      </c>
      <c r="L218" s="2" t="s">
        <v>234</v>
      </c>
    </row>
    <row r="219" spans="1:11" ht="13.5">
      <c r="A219" s="3"/>
      <c r="B219" s="3"/>
      <c r="C219" s="3"/>
      <c r="D219" s="3"/>
      <c r="E219" s="3"/>
      <c r="F219" s="3"/>
      <c r="G219" s="3"/>
      <c r="H219" s="3"/>
      <c r="I219" s="3"/>
      <c r="J219" s="6" t="s">
        <v>237</v>
      </c>
      <c r="K219" s="19">
        <f>J216/L216</f>
        <v>1.0068667278882593</v>
      </c>
    </row>
    <row r="220" spans="1:11" ht="13.5">
      <c r="A220" s="3"/>
      <c r="B220" s="3"/>
      <c r="C220" s="3"/>
      <c r="D220" s="3"/>
      <c r="E220" s="3"/>
      <c r="F220" s="3"/>
      <c r="G220" s="3"/>
      <c r="H220" s="3"/>
      <c r="I220" s="11"/>
      <c r="J220" s="6" t="s">
        <v>239</v>
      </c>
      <c r="K220" s="19">
        <f>(M215-(K227+1))/K228</f>
        <v>-4.4818474451657915</v>
      </c>
    </row>
    <row r="221" spans="1:11" ht="13.5">
      <c r="A221" s="3"/>
      <c r="B221" s="3"/>
      <c r="C221" s="3"/>
      <c r="D221" s="3"/>
      <c r="E221" s="3"/>
      <c r="F221" s="3"/>
      <c r="G221" s="3"/>
      <c r="H221" s="3"/>
      <c r="I221" s="3"/>
      <c r="J221" s="6" t="s">
        <v>14</v>
      </c>
      <c r="K221" s="19">
        <f>((K222)*(K224))/K225</f>
        <v>-0.9865378510117877</v>
      </c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11"/>
      <c r="J222" t="s">
        <v>16</v>
      </c>
      <c r="K222">
        <f>D216-D215</f>
        <v>-0.6891213043127209</v>
      </c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11"/>
      <c r="J223" t="s">
        <v>20</v>
      </c>
      <c r="K223">
        <f>A215</f>
        <v>23</v>
      </c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11"/>
      <c r="J224" t="s">
        <v>23</v>
      </c>
      <c r="K224">
        <f>(K223-1)^0.5</f>
        <v>4.69041575982343</v>
      </c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11"/>
      <c r="J225" t="s">
        <v>231</v>
      </c>
      <c r="K225">
        <f>D217</f>
        <v>3.276372440108071</v>
      </c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11"/>
      <c r="J226" t="s">
        <v>24</v>
      </c>
      <c r="K226">
        <f>A215</f>
        <v>23</v>
      </c>
    </row>
    <row r="227" spans="10:11" ht="12.75">
      <c r="J227" t="s">
        <v>25</v>
      </c>
      <c r="K227">
        <f>K226/2</f>
        <v>11.5</v>
      </c>
    </row>
    <row r="228" spans="10:11" ht="12.75">
      <c r="J228" t="s">
        <v>26</v>
      </c>
      <c r="K228">
        <f>((K227*(K227-1))/(K226-1))^0.5</f>
        <v>2.342783891791209</v>
      </c>
    </row>
    <row r="229" spans="1:13" ht="15.75">
      <c r="A229" s="3"/>
      <c r="B229" s="6" t="s">
        <v>115</v>
      </c>
      <c r="C229" s="6"/>
      <c r="D229" s="6"/>
      <c r="E229" s="2" t="s">
        <v>189</v>
      </c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 t="s">
        <v>116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3.5">
      <c r="A232" s="6" t="s">
        <v>191</v>
      </c>
      <c r="B232" s="5" t="s">
        <v>81</v>
      </c>
      <c r="C232" s="5" t="s">
        <v>193</v>
      </c>
      <c r="D232" s="5" t="s">
        <v>117</v>
      </c>
      <c r="E232" s="6" t="s">
        <v>195</v>
      </c>
      <c r="F232" s="6"/>
      <c r="G232" s="6"/>
      <c r="H232" s="6"/>
      <c r="I232" s="6"/>
      <c r="J232" s="5" t="s">
        <v>199</v>
      </c>
      <c r="K232" s="5" t="s">
        <v>200</v>
      </c>
      <c r="L232" s="5" t="s">
        <v>201</v>
      </c>
      <c r="M232" s="5" t="s">
        <v>202</v>
      </c>
    </row>
    <row r="233" spans="1:13" ht="12.75">
      <c r="A233" s="3">
        <v>1</v>
      </c>
      <c r="B233" s="3" t="s">
        <v>118</v>
      </c>
      <c r="C233" s="3">
        <v>1949</v>
      </c>
      <c r="D233" s="16">
        <v>26752.31</v>
      </c>
      <c r="E233" s="3">
        <v>0.26</v>
      </c>
      <c r="F233" s="3"/>
      <c r="G233" s="3"/>
      <c r="H233" s="3"/>
      <c r="I233" s="3"/>
      <c r="J233" s="3"/>
      <c r="K233" s="3">
        <f aca="true" t="shared" si="21" ref="K233:K253">D233-$D$254</f>
        <v>0.4526041666722449</v>
      </c>
      <c r="L233" s="3">
        <f aca="true" t="shared" si="22" ref="L233:L253">(K233)^2</f>
        <v>0.20485053168907724</v>
      </c>
      <c r="M233" s="3">
        <v>1</v>
      </c>
    </row>
    <row r="234" spans="1:13" ht="12.75">
      <c r="A234" s="3">
        <f aca="true" t="shared" si="23" ref="A234:A253">A233+1</f>
        <v>2</v>
      </c>
      <c r="B234" s="3" t="s">
        <v>106</v>
      </c>
      <c r="C234" s="3">
        <v>1952</v>
      </c>
      <c r="D234" s="16">
        <v>26752.7</v>
      </c>
      <c r="E234" s="3">
        <v>0.8</v>
      </c>
      <c r="F234" s="3"/>
      <c r="G234" s="3"/>
      <c r="H234" s="3"/>
      <c r="I234" s="3"/>
      <c r="J234" s="3">
        <f aca="true" t="shared" si="24" ref="J234:J253">(D233-D234)^2</f>
        <v>0.152099999999546</v>
      </c>
      <c r="K234" s="3">
        <f t="shared" si="21"/>
        <v>0.8426041666716628</v>
      </c>
      <c r="L234" s="3">
        <f t="shared" si="22"/>
        <v>0.7099817816924473</v>
      </c>
      <c r="M234" s="3">
        <v>1</v>
      </c>
    </row>
    <row r="235" spans="1:13" ht="12.75">
      <c r="A235" s="3">
        <f t="shared" si="23"/>
        <v>3</v>
      </c>
      <c r="B235" s="3" t="s">
        <v>225</v>
      </c>
      <c r="C235" s="3">
        <v>1955</v>
      </c>
      <c r="D235" s="16">
        <v>26753</v>
      </c>
      <c r="E235" s="3">
        <v>0.4</v>
      </c>
      <c r="F235" s="3"/>
      <c r="G235" s="3"/>
      <c r="H235" s="3"/>
      <c r="I235" s="3"/>
      <c r="J235" s="3">
        <f t="shared" si="24"/>
        <v>0.08999999999956344</v>
      </c>
      <c r="K235" s="3">
        <f t="shared" si="21"/>
        <v>1.1426041666709352</v>
      </c>
      <c r="L235" s="3">
        <f t="shared" si="22"/>
        <v>1.3055442816937823</v>
      </c>
      <c r="M235" s="3">
        <v>1</v>
      </c>
    </row>
    <row r="236" spans="1:13" ht="12.75">
      <c r="A236" s="3">
        <f t="shared" si="23"/>
        <v>4</v>
      </c>
      <c r="B236" s="3" t="s">
        <v>119</v>
      </c>
      <c r="C236" s="3">
        <v>1957</v>
      </c>
      <c r="D236" s="16">
        <v>26755</v>
      </c>
      <c r="E236" s="3">
        <v>1.2</v>
      </c>
      <c r="F236" s="3"/>
      <c r="G236" s="3"/>
      <c r="H236" s="3"/>
      <c r="I236" s="3"/>
      <c r="J236" s="3">
        <f t="shared" si="24"/>
        <v>4</v>
      </c>
      <c r="K236" s="3">
        <f t="shared" si="21"/>
        <v>3.1426041666709352</v>
      </c>
      <c r="L236" s="3">
        <f t="shared" si="22"/>
        <v>9.875960948377523</v>
      </c>
      <c r="M236" s="3">
        <v>1</v>
      </c>
    </row>
    <row r="237" spans="1:13" ht="12.75">
      <c r="A237" s="3">
        <f t="shared" si="23"/>
        <v>5</v>
      </c>
      <c r="B237" s="3" t="s">
        <v>120</v>
      </c>
      <c r="C237" s="3">
        <v>1958</v>
      </c>
      <c r="D237" s="16">
        <v>26751.465</v>
      </c>
      <c r="E237" s="3">
        <v>0.08</v>
      </c>
      <c r="F237" s="3"/>
      <c r="G237" s="3"/>
      <c r="H237" s="3"/>
      <c r="I237" s="3"/>
      <c r="J237" s="3">
        <f t="shared" si="24"/>
        <v>12.49622499999897</v>
      </c>
      <c r="K237" s="3">
        <f t="shared" si="21"/>
        <v>-0.39239583332891925</v>
      </c>
      <c r="L237" s="3">
        <f t="shared" si="22"/>
        <v>0.153974490013897</v>
      </c>
      <c r="M237" s="3">
        <v>2</v>
      </c>
    </row>
    <row r="238" spans="1:13" ht="12.75">
      <c r="A238" s="3">
        <f t="shared" si="23"/>
        <v>6</v>
      </c>
      <c r="B238" s="3" t="s">
        <v>121</v>
      </c>
      <c r="C238" s="3">
        <v>1959</v>
      </c>
      <c r="D238" s="16">
        <v>26752</v>
      </c>
      <c r="E238" s="3">
        <v>1.5</v>
      </c>
      <c r="F238" s="3"/>
      <c r="G238" s="3"/>
      <c r="H238" s="3"/>
      <c r="I238" s="3"/>
      <c r="J238" s="3">
        <f t="shared" si="24"/>
        <v>0.2862249999998443</v>
      </c>
      <c r="K238" s="3">
        <f t="shared" si="21"/>
        <v>0.14260416667093523</v>
      </c>
      <c r="L238" s="3">
        <f t="shared" si="22"/>
        <v>0.020335948351911874</v>
      </c>
      <c r="M238" s="3">
        <v>3</v>
      </c>
    </row>
    <row r="239" spans="1:13" ht="12.75">
      <c r="A239" s="3">
        <f t="shared" si="23"/>
        <v>7</v>
      </c>
      <c r="B239" s="3" t="s">
        <v>122</v>
      </c>
      <c r="C239" s="3">
        <v>1960</v>
      </c>
      <c r="D239" s="16">
        <v>26752.5</v>
      </c>
      <c r="E239" s="3">
        <v>0.99</v>
      </c>
      <c r="F239" s="3"/>
      <c r="G239" s="3"/>
      <c r="H239" s="3"/>
      <c r="I239" s="3"/>
      <c r="J239" s="3">
        <f t="shared" si="24"/>
        <v>0.25</v>
      </c>
      <c r="K239" s="3">
        <f t="shared" si="21"/>
        <v>0.6426041666709352</v>
      </c>
      <c r="L239" s="3">
        <f t="shared" si="22"/>
        <v>0.4129401150228471</v>
      </c>
      <c r="M239" s="3">
        <v>3</v>
      </c>
    </row>
    <row r="240" spans="1:13" ht="12.75">
      <c r="A240" s="3">
        <f t="shared" si="23"/>
        <v>8</v>
      </c>
      <c r="B240" s="3" t="s">
        <v>123</v>
      </c>
      <c r="C240" s="3">
        <v>1962</v>
      </c>
      <c r="D240" s="16">
        <f>(26751.44+26751.2+26750.6)/3</f>
        <v>26751.079999999998</v>
      </c>
      <c r="E240" s="3"/>
      <c r="F240" s="3"/>
      <c r="G240" s="3"/>
      <c r="H240" s="3"/>
      <c r="I240" s="3"/>
      <c r="J240" s="3">
        <f t="shared" si="24"/>
        <v>2.0164000000053726</v>
      </c>
      <c r="K240" s="3">
        <f t="shared" si="21"/>
        <v>-0.7773958333309565</v>
      </c>
      <c r="L240" s="3">
        <f t="shared" si="22"/>
        <v>0.6043442816803323</v>
      </c>
      <c r="M240" s="3">
        <v>4</v>
      </c>
    </row>
    <row r="241" spans="1:13" ht="12.75">
      <c r="A241" s="3">
        <f t="shared" si="23"/>
        <v>9</v>
      </c>
      <c r="B241" s="3" t="s">
        <v>226</v>
      </c>
      <c r="C241" s="3">
        <v>1963</v>
      </c>
      <c r="D241" s="16">
        <v>26751.92</v>
      </c>
      <c r="E241" s="3">
        <v>0.07</v>
      </c>
      <c r="F241" s="3"/>
      <c r="G241" s="3"/>
      <c r="H241" s="3"/>
      <c r="I241" s="3"/>
      <c r="J241" s="3">
        <f t="shared" si="24"/>
        <v>0.7056000000002445</v>
      </c>
      <c r="K241" s="3">
        <f t="shared" si="21"/>
        <v>0.062604166669189</v>
      </c>
      <c r="L241" s="3">
        <f t="shared" si="22"/>
        <v>0.003919281684343595</v>
      </c>
      <c r="M241" s="3">
        <v>5</v>
      </c>
    </row>
    <row r="242" spans="1:13" ht="12.75">
      <c r="A242" s="3">
        <f t="shared" si="23"/>
        <v>10</v>
      </c>
      <c r="B242" s="3" t="s">
        <v>0</v>
      </c>
      <c r="C242" s="3">
        <v>1964</v>
      </c>
      <c r="D242" s="16">
        <v>26751.555</v>
      </c>
      <c r="E242" s="18" t="s">
        <v>1</v>
      </c>
      <c r="F242" s="3"/>
      <c r="G242" s="3"/>
      <c r="H242" s="3"/>
      <c r="I242" s="3"/>
      <c r="J242" s="3">
        <f t="shared" si="24"/>
        <v>0.13322499999851278</v>
      </c>
      <c r="K242" s="3">
        <f t="shared" si="21"/>
        <v>-0.30239583332877373</v>
      </c>
      <c r="L242" s="3">
        <f t="shared" si="22"/>
        <v>0.09144324001460351</v>
      </c>
      <c r="M242" s="3">
        <v>6</v>
      </c>
    </row>
    <row r="243" spans="1:13" ht="12.75">
      <c r="A243" s="3">
        <f t="shared" si="23"/>
        <v>11</v>
      </c>
      <c r="B243" s="3" t="s">
        <v>2</v>
      </c>
      <c r="C243" s="3">
        <v>1966</v>
      </c>
      <c r="D243" s="16">
        <v>26751.05</v>
      </c>
      <c r="E243" s="3">
        <v>0.2</v>
      </c>
      <c r="F243" s="3"/>
      <c r="G243" s="3"/>
      <c r="H243" s="3"/>
      <c r="I243" s="3"/>
      <c r="J243" s="3">
        <f t="shared" si="24"/>
        <v>0.25502500000102885</v>
      </c>
      <c r="K243" s="3">
        <f t="shared" si="21"/>
        <v>-0.8073958333297924</v>
      </c>
      <c r="L243" s="3">
        <f t="shared" si="22"/>
        <v>0.6518880316783099</v>
      </c>
      <c r="M243" s="3">
        <v>6</v>
      </c>
    </row>
    <row r="244" spans="1:13" ht="12.75">
      <c r="A244" s="3">
        <f t="shared" si="23"/>
        <v>12</v>
      </c>
      <c r="B244" s="3" t="s">
        <v>3</v>
      </c>
      <c r="C244" s="3">
        <v>1968</v>
      </c>
      <c r="D244" s="16">
        <f>(26751.526+26751.384+26751.349)/3</f>
        <v>26751.41966666667</v>
      </c>
      <c r="E244" s="3"/>
      <c r="F244" s="3"/>
      <c r="G244" s="3"/>
      <c r="H244" s="3"/>
      <c r="I244" s="3"/>
      <c r="J244" s="3">
        <f t="shared" si="24"/>
        <v>0.13665344444633082</v>
      </c>
      <c r="K244" s="3">
        <f t="shared" si="21"/>
        <v>-0.43772916666057426</v>
      </c>
      <c r="L244" s="3">
        <f t="shared" si="22"/>
        <v>0.1916068233453608</v>
      </c>
      <c r="M244" s="3">
        <v>6</v>
      </c>
    </row>
    <row r="245" spans="1:13" ht="12.75">
      <c r="A245" s="3">
        <f t="shared" si="23"/>
        <v>13</v>
      </c>
      <c r="B245" s="3" t="s">
        <v>4</v>
      </c>
      <c r="C245" s="3">
        <v>1969</v>
      </c>
      <c r="D245" s="16">
        <v>26751.27</v>
      </c>
      <c r="E245" s="3">
        <v>0.082</v>
      </c>
      <c r="F245" s="3"/>
      <c r="G245" s="3"/>
      <c r="H245" s="3"/>
      <c r="I245" s="3"/>
      <c r="J245" s="3">
        <f t="shared" si="24"/>
        <v>0.022400111111526372</v>
      </c>
      <c r="K245" s="3">
        <f t="shared" si="21"/>
        <v>-0.5873958333286282</v>
      </c>
      <c r="L245" s="3">
        <f t="shared" si="22"/>
        <v>0.3450338650118336</v>
      </c>
      <c r="M245" s="3">
        <v>6</v>
      </c>
    </row>
    <row r="246" spans="1:13" ht="12.75">
      <c r="A246" s="3">
        <f t="shared" si="23"/>
        <v>14</v>
      </c>
      <c r="B246" s="3" t="s">
        <v>5</v>
      </c>
      <c r="C246" s="3">
        <v>1972</v>
      </c>
      <c r="D246" s="16">
        <v>26751.384</v>
      </c>
      <c r="E246" s="3">
        <v>0.054</v>
      </c>
      <c r="F246" s="3"/>
      <c r="G246" s="3"/>
      <c r="H246" s="3"/>
      <c r="I246" s="3"/>
      <c r="J246" s="3">
        <f t="shared" si="24"/>
        <v>0.012995999999489053</v>
      </c>
      <c r="K246" s="3">
        <f t="shared" si="21"/>
        <v>-0.4733958333308692</v>
      </c>
      <c r="L246" s="3">
        <f t="shared" si="22"/>
        <v>0.2241036150150281</v>
      </c>
      <c r="M246" s="3">
        <v>6</v>
      </c>
    </row>
    <row r="247" spans="1:13" ht="12.75">
      <c r="A247" s="3">
        <f t="shared" si="23"/>
        <v>15</v>
      </c>
      <c r="B247" s="3" t="s">
        <v>228</v>
      </c>
      <c r="C247" s="3">
        <v>1973</v>
      </c>
      <c r="D247" s="16">
        <v>26751.301</v>
      </c>
      <c r="E247" s="3">
        <v>0.075</v>
      </c>
      <c r="F247" s="3"/>
      <c r="G247" s="3"/>
      <c r="H247" s="3"/>
      <c r="I247" s="3"/>
      <c r="J247" s="3">
        <f t="shared" si="24"/>
        <v>0.006888999999787425</v>
      </c>
      <c r="K247" s="3">
        <f t="shared" si="21"/>
        <v>-0.5563958333295886</v>
      </c>
      <c r="L247" s="3">
        <f t="shared" si="22"/>
        <v>0.3095763233465274</v>
      </c>
      <c r="M247" s="3">
        <v>6</v>
      </c>
    </row>
    <row r="248" spans="1:13" ht="12.75">
      <c r="A248" s="3">
        <f t="shared" si="23"/>
        <v>16</v>
      </c>
      <c r="B248" s="3" t="s">
        <v>6</v>
      </c>
      <c r="C248" s="3">
        <v>1975</v>
      </c>
      <c r="D248" s="16">
        <v>26751.354</v>
      </c>
      <c r="E248" s="3">
        <v>0.011</v>
      </c>
      <c r="F248" s="3"/>
      <c r="G248" s="3"/>
      <c r="H248" s="3"/>
      <c r="I248" s="3"/>
      <c r="J248" s="3">
        <f t="shared" si="24"/>
        <v>0.00280899999998766</v>
      </c>
      <c r="K248" s="3">
        <f t="shared" si="21"/>
        <v>-0.5033958333297051</v>
      </c>
      <c r="L248" s="3">
        <f t="shared" si="22"/>
        <v>0.2534073650137082</v>
      </c>
      <c r="M248" s="3">
        <v>6</v>
      </c>
    </row>
    <row r="249" spans="1:13" ht="12.75">
      <c r="A249" s="3">
        <f t="shared" si="23"/>
        <v>17</v>
      </c>
      <c r="B249" s="3" t="s">
        <v>7</v>
      </c>
      <c r="C249" s="3">
        <v>1977</v>
      </c>
      <c r="D249" s="16">
        <f>(26751.481+26751.178)/2</f>
        <v>26751.3295</v>
      </c>
      <c r="E249" s="3"/>
      <c r="F249" s="3"/>
      <c r="G249" s="3"/>
      <c r="H249" s="3"/>
      <c r="I249" s="3"/>
      <c r="J249" s="3">
        <f t="shared" si="24"/>
        <v>0.0006002499999771826</v>
      </c>
      <c r="K249" s="3">
        <f t="shared" si="21"/>
        <v>-0.5278958333292394</v>
      </c>
      <c r="L249" s="3">
        <f t="shared" si="22"/>
        <v>0.2786740108463721</v>
      </c>
      <c r="M249" s="3">
        <v>6</v>
      </c>
    </row>
    <row r="250" spans="1:13" ht="12.75">
      <c r="A250" s="3">
        <f t="shared" si="23"/>
        <v>18</v>
      </c>
      <c r="B250" s="3" t="s">
        <v>8</v>
      </c>
      <c r="C250" s="3">
        <v>1979</v>
      </c>
      <c r="D250" s="16">
        <v>26751.689</v>
      </c>
      <c r="E250" s="3">
        <v>0.027</v>
      </c>
      <c r="F250" s="3"/>
      <c r="G250" s="3"/>
      <c r="H250" s="3"/>
      <c r="I250" s="3"/>
      <c r="J250" s="3">
        <f t="shared" si="24"/>
        <v>0.1292402499990374</v>
      </c>
      <c r="K250" s="3">
        <f t="shared" si="21"/>
        <v>-0.16839583333057817</v>
      </c>
      <c r="L250" s="3">
        <f t="shared" si="22"/>
        <v>0.028357156683099863</v>
      </c>
      <c r="M250" s="3">
        <v>6</v>
      </c>
    </row>
    <row r="251" spans="1:13" ht="12.75">
      <c r="A251" s="3">
        <f t="shared" si="23"/>
        <v>19</v>
      </c>
      <c r="B251" s="3" t="s">
        <v>9</v>
      </c>
      <c r="C251" s="3">
        <v>1979</v>
      </c>
      <c r="D251" s="16">
        <v>26751.3625</v>
      </c>
      <c r="E251" s="3">
        <v>0.0057</v>
      </c>
      <c r="F251" s="3"/>
      <c r="G251" s="3"/>
      <c r="H251" s="3"/>
      <c r="I251" s="3"/>
      <c r="J251" s="3">
        <f t="shared" si="24"/>
        <v>0.10660224999948686</v>
      </c>
      <c r="K251" s="3">
        <f t="shared" si="21"/>
        <v>-0.49489583332979237</v>
      </c>
      <c r="L251" s="3">
        <f t="shared" si="22"/>
        <v>0.24492188584718963</v>
      </c>
      <c r="M251" s="3">
        <v>6</v>
      </c>
    </row>
    <row r="252" spans="1:13" ht="12.75">
      <c r="A252" s="3">
        <f t="shared" si="23"/>
        <v>20</v>
      </c>
      <c r="B252" s="3" t="s">
        <v>10</v>
      </c>
      <c r="C252" s="3">
        <v>1980</v>
      </c>
      <c r="D252" s="16">
        <f>(26751.572+26751.391+26751.32+26751.55)/4</f>
        <v>26751.45825</v>
      </c>
      <c r="E252" s="3"/>
      <c r="F252" s="3"/>
      <c r="G252" s="3"/>
      <c r="H252" s="3"/>
      <c r="I252" s="3"/>
      <c r="J252" s="3">
        <f t="shared" si="24"/>
        <v>0.009168062500078027</v>
      </c>
      <c r="K252" s="3">
        <f t="shared" si="21"/>
        <v>-0.3991458333293849</v>
      </c>
      <c r="L252" s="3">
        <f t="shared" si="22"/>
        <v>0.15931739626420913</v>
      </c>
      <c r="M252" s="3">
        <v>6</v>
      </c>
    </row>
    <row r="253" spans="1:13" ht="12.75">
      <c r="A253" s="3">
        <f t="shared" si="23"/>
        <v>21</v>
      </c>
      <c r="B253" s="3" t="s">
        <v>11</v>
      </c>
      <c r="C253" s="3">
        <v>1981</v>
      </c>
      <c r="D253" s="16">
        <f>(26751.257+26751.228)/2</f>
        <v>26751.2425</v>
      </c>
      <c r="E253" s="3"/>
      <c r="F253" s="3"/>
      <c r="G253" s="3"/>
      <c r="H253" s="3"/>
      <c r="I253" s="3"/>
      <c r="J253" s="3">
        <f t="shared" si="24"/>
        <v>0.046548062499736274</v>
      </c>
      <c r="K253" s="3">
        <f t="shared" si="21"/>
        <v>-0.6148958333287737</v>
      </c>
      <c r="L253" s="3">
        <f t="shared" si="22"/>
        <v>0.3780968858450871</v>
      </c>
      <c r="M253" s="3">
        <v>6</v>
      </c>
    </row>
    <row r="254" spans="1:13" ht="12.75">
      <c r="A254" s="3"/>
      <c r="B254" s="3"/>
      <c r="C254" s="11" t="s">
        <v>229</v>
      </c>
      <c r="D254" s="7">
        <f>AVERAGE(D233:D252)</f>
        <v>26751.85739583333</v>
      </c>
      <c r="E254" s="3">
        <f>AVERAGE(E233:E252)</f>
        <v>0.38364666666666675</v>
      </c>
      <c r="F254" s="8"/>
      <c r="G254" s="9"/>
      <c r="H254" s="9"/>
      <c r="I254" s="9" t="s">
        <v>230</v>
      </c>
      <c r="J254" s="3">
        <f>SUM(J233:J252)</f>
        <v>20.81215836805879</v>
      </c>
      <c r="K254" s="15">
        <f>SUM(K233:K252)</f>
        <v>8.003553375601768E-11</v>
      </c>
      <c r="L254" s="4">
        <f>SUM(L233:L252)</f>
        <v>16.0701813732724</v>
      </c>
      <c r="M254" s="3">
        <v>6</v>
      </c>
    </row>
    <row r="255" spans="1:13" ht="12.75">
      <c r="A255" s="3"/>
      <c r="B255" s="3"/>
      <c r="C255" s="11" t="s">
        <v>231</v>
      </c>
      <c r="D255" s="10">
        <f>STDEV(D233:D252)</f>
        <v>0.9196734722312054</v>
      </c>
      <c r="E255" s="3">
        <f>STDEV(E233:E252)</f>
        <v>0.49261517995673804</v>
      </c>
      <c r="F255" s="10"/>
      <c r="G255" s="3"/>
      <c r="H255" s="3"/>
      <c r="I255" s="3"/>
      <c r="J255" s="3"/>
      <c r="K255" s="3"/>
      <c r="L255" s="4"/>
      <c r="M255" s="3"/>
    </row>
    <row r="256" spans="1:12" ht="15.75">
      <c r="A256" s="3"/>
      <c r="B256" s="3"/>
      <c r="C256" s="11" t="s">
        <v>232</v>
      </c>
      <c r="D256" s="3">
        <f>VAR(D233:D252)</f>
        <v>0.8457992955258018</v>
      </c>
      <c r="E256" s="3">
        <f>VAR(E233:E252)</f>
        <v>0.24266971552380942</v>
      </c>
      <c r="F256" s="3"/>
      <c r="G256" s="3"/>
      <c r="H256" s="3"/>
      <c r="I256" s="3"/>
      <c r="J256" s="2" t="s">
        <v>233</v>
      </c>
      <c r="L256" s="2" t="s">
        <v>234</v>
      </c>
    </row>
    <row r="257" spans="1:11" ht="13.5">
      <c r="A257" s="3"/>
      <c r="B257" s="3"/>
      <c r="C257" s="3"/>
      <c r="D257" s="3"/>
      <c r="E257" s="3"/>
      <c r="F257" s="3"/>
      <c r="G257" s="3"/>
      <c r="H257" s="3"/>
      <c r="I257" s="3"/>
      <c r="J257" s="6" t="s">
        <v>237</v>
      </c>
      <c r="K257" s="19">
        <f>J254/L254</f>
        <v>1.2950792455070326</v>
      </c>
    </row>
    <row r="258" spans="1:11" ht="13.5">
      <c r="A258" s="3"/>
      <c r="B258" s="3"/>
      <c r="C258" s="3"/>
      <c r="D258" s="3"/>
      <c r="E258" s="3"/>
      <c r="F258" s="3"/>
      <c r="G258" s="3"/>
      <c r="H258" s="3"/>
      <c r="I258" s="11"/>
      <c r="J258" s="6" t="s">
        <v>239</v>
      </c>
      <c r="K258" s="19">
        <f>(M253-(K265+1))/K266</f>
        <v>-2.4627551456180474</v>
      </c>
    </row>
    <row r="259" spans="1:11" ht="13.5">
      <c r="A259" s="3"/>
      <c r="B259" s="3"/>
      <c r="C259" s="3"/>
      <c r="D259" s="3"/>
      <c r="E259" s="3"/>
      <c r="F259" s="3"/>
      <c r="G259" s="3"/>
      <c r="H259" s="3"/>
      <c r="I259" s="3"/>
      <c r="J259" s="6" t="s">
        <v>14</v>
      </c>
      <c r="K259" s="19">
        <f>((K260)*(K262))/K263</f>
        <v>2.990080553413761</v>
      </c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11"/>
      <c r="J260" t="s">
        <v>16</v>
      </c>
      <c r="K260">
        <f>D254-D253</f>
        <v>0.6148958333287737</v>
      </c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11"/>
      <c r="J261" t="s">
        <v>20</v>
      </c>
      <c r="K261">
        <f>A253</f>
        <v>21</v>
      </c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11"/>
      <c r="J262" t="s">
        <v>23</v>
      </c>
      <c r="K262">
        <f>(K261-1)^0.5</f>
        <v>4.47213595499958</v>
      </c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11"/>
      <c r="J263" t="s">
        <v>231</v>
      </c>
      <c r="K263">
        <f>D255</f>
        <v>0.9196734722312054</v>
      </c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11"/>
      <c r="J264" t="s">
        <v>24</v>
      </c>
      <c r="K264">
        <f>A253</f>
        <v>21</v>
      </c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t="s">
        <v>25</v>
      </c>
      <c r="K265">
        <f>K264/2</f>
        <v>10.5</v>
      </c>
    </row>
    <row r="266" spans="1:11" ht="13.5">
      <c r="A266" s="3"/>
      <c r="B266" s="6" t="s">
        <v>124</v>
      </c>
      <c r="C266" s="3"/>
      <c r="D266" s="3"/>
      <c r="E266" s="3"/>
      <c r="F266" s="3"/>
      <c r="G266" s="3"/>
      <c r="H266" s="3"/>
      <c r="I266" s="3"/>
      <c r="J266" t="s">
        <v>26</v>
      </c>
      <c r="K266">
        <f>((K265*(K265-1))/(K264-1))^0.5</f>
        <v>2.2332711434127295</v>
      </c>
    </row>
    <row r="267" spans="1:13" ht="12.75">
      <c r="A267" s="3"/>
      <c r="B267" s="3" t="s">
        <v>125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3.5">
      <c r="A269" s="6" t="s">
        <v>191</v>
      </c>
      <c r="B269" s="5" t="s">
        <v>126</v>
      </c>
      <c r="C269" s="5" t="s">
        <v>193</v>
      </c>
      <c r="D269" s="5" t="s">
        <v>127</v>
      </c>
      <c r="E269" s="6" t="s">
        <v>195</v>
      </c>
      <c r="F269" s="6"/>
      <c r="G269" s="6"/>
      <c r="H269" s="6"/>
      <c r="I269" s="6"/>
      <c r="J269" s="5" t="s">
        <v>199</v>
      </c>
      <c r="K269" s="5" t="s">
        <v>200</v>
      </c>
      <c r="L269" s="5" t="s">
        <v>201</v>
      </c>
      <c r="M269" s="5" t="s">
        <v>202</v>
      </c>
    </row>
    <row r="270" spans="1:13" ht="12.75">
      <c r="A270" s="3">
        <v>1</v>
      </c>
      <c r="B270" s="3" t="s">
        <v>128</v>
      </c>
      <c r="C270" s="3">
        <v>1798</v>
      </c>
      <c r="D270" s="20">
        <v>6.754</v>
      </c>
      <c r="E270" s="3">
        <v>0.041</v>
      </c>
      <c r="F270" s="3"/>
      <c r="G270" s="3"/>
      <c r="H270" s="3"/>
      <c r="I270" s="3"/>
      <c r="J270" s="3"/>
      <c r="K270" s="3">
        <f aca="true" t="shared" si="25" ref="K270:K294">(D270-$D$295)</f>
        <v>0.09692399999999957</v>
      </c>
      <c r="L270" s="3">
        <f aca="true" t="shared" si="26" ref="L270:L293">(K270)^2</f>
        <v>0.009394261775999916</v>
      </c>
      <c r="M270" s="3">
        <v>1</v>
      </c>
    </row>
    <row r="271" spans="1:13" ht="12.75">
      <c r="A271" s="3">
        <f aca="true" t="shared" si="27" ref="A271:A294">1+A270</f>
        <v>2</v>
      </c>
      <c r="B271" s="3" t="s">
        <v>129</v>
      </c>
      <c r="C271" s="3">
        <v>1838</v>
      </c>
      <c r="D271" s="20">
        <v>6.64</v>
      </c>
      <c r="E271" s="3">
        <v>0.06</v>
      </c>
      <c r="F271" s="3"/>
      <c r="G271" s="3"/>
      <c r="H271" s="3"/>
      <c r="I271" s="3"/>
      <c r="J271" s="3">
        <f aca="true" t="shared" si="28" ref="J271:J294">(D270-D271)^2</f>
        <v>0.012995999999999973</v>
      </c>
      <c r="K271" s="3">
        <f t="shared" si="25"/>
        <v>-0.017076000000000313</v>
      </c>
      <c r="L271" s="3">
        <f t="shared" si="26"/>
        <v>0.0002915897760000107</v>
      </c>
      <c r="M271" s="3">
        <v>2</v>
      </c>
    </row>
    <row r="272" spans="1:13" ht="12.75">
      <c r="A272" s="3">
        <f t="shared" si="27"/>
        <v>3</v>
      </c>
      <c r="B272" s="3" t="s">
        <v>130</v>
      </c>
      <c r="C272" s="3">
        <v>1843</v>
      </c>
      <c r="D272" s="20">
        <v>6.63</v>
      </c>
      <c r="E272" s="3">
        <v>0.07</v>
      </c>
      <c r="F272" s="3"/>
      <c r="G272" s="3"/>
      <c r="H272" s="3"/>
      <c r="I272" s="3"/>
      <c r="J272" s="3">
        <f t="shared" si="28"/>
        <v>9.999999999999574E-05</v>
      </c>
      <c r="K272" s="3">
        <f t="shared" si="25"/>
        <v>-0.0270760000000001</v>
      </c>
      <c r="L272" s="3">
        <f t="shared" si="26"/>
        <v>0.0007331097760000054</v>
      </c>
      <c r="M272" s="3">
        <v>2</v>
      </c>
    </row>
    <row r="273" spans="1:13" ht="12.75">
      <c r="A273" s="3">
        <f t="shared" si="27"/>
        <v>4</v>
      </c>
      <c r="B273" s="3" t="s">
        <v>131</v>
      </c>
      <c r="C273" s="3">
        <v>1872</v>
      </c>
      <c r="D273" s="20">
        <v>6.618</v>
      </c>
      <c r="E273" s="3">
        <v>0.017</v>
      </c>
      <c r="F273" s="3"/>
      <c r="G273" s="3"/>
      <c r="H273" s="3"/>
      <c r="I273" s="3"/>
      <c r="J273" s="3">
        <f t="shared" si="28"/>
        <v>0.0001439999999999896</v>
      </c>
      <c r="K273" s="3">
        <f t="shared" si="25"/>
        <v>-0.03907599999999967</v>
      </c>
      <c r="L273" s="3">
        <f t="shared" si="26"/>
        <v>0.001526933775999974</v>
      </c>
      <c r="M273" s="3">
        <v>2</v>
      </c>
    </row>
    <row r="274" spans="1:13" ht="12.75">
      <c r="A274" s="3">
        <f t="shared" si="27"/>
        <v>5</v>
      </c>
      <c r="B274" s="3" t="s">
        <v>132</v>
      </c>
      <c r="C274" s="3">
        <v>1873</v>
      </c>
      <c r="D274" s="20">
        <v>6.447</v>
      </c>
      <c r="E274" s="3">
        <v>0.11</v>
      </c>
      <c r="F274" s="3"/>
      <c r="G274" s="3"/>
      <c r="H274" s="3"/>
      <c r="I274" s="3"/>
      <c r="J274" s="3">
        <f t="shared" si="28"/>
        <v>0.02924100000000009</v>
      </c>
      <c r="K274" s="3">
        <f t="shared" si="25"/>
        <v>-0.21007599999999993</v>
      </c>
      <c r="L274" s="3">
        <f t="shared" si="26"/>
        <v>0.04413192577599997</v>
      </c>
      <c r="M274" s="3">
        <v>2</v>
      </c>
    </row>
    <row r="275" spans="1:13" ht="12.75">
      <c r="A275" s="3">
        <f t="shared" si="27"/>
        <v>6</v>
      </c>
      <c r="B275" s="3" t="s">
        <v>133</v>
      </c>
      <c r="C275" s="3">
        <v>1886</v>
      </c>
      <c r="D275" s="20">
        <v>6.657</v>
      </c>
      <c r="E275" s="3">
        <v>0.013</v>
      </c>
      <c r="F275" s="3"/>
      <c r="G275" s="3"/>
      <c r="H275" s="3"/>
      <c r="I275" s="3"/>
      <c r="J275" s="3">
        <f t="shared" si="28"/>
        <v>0.044099999999999986</v>
      </c>
      <c r="K275" s="3">
        <f t="shared" si="25"/>
        <v>-7.599999999996498E-05</v>
      </c>
      <c r="L275" s="3">
        <f t="shared" si="26"/>
        <v>5.775999999994678E-09</v>
      </c>
      <c r="M275" s="3">
        <v>2</v>
      </c>
    </row>
    <row r="276" spans="1:13" ht="12.75">
      <c r="A276" s="3">
        <f t="shared" si="27"/>
        <v>7</v>
      </c>
      <c r="B276" s="3" t="s">
        <v>134</v>
      </c>
      <c r="C276" s="3">
        <v>1888</v>
      </c>
      <c r="D276" s="20">
        <v>6.683</v>
      </c>
      <c r="E276" s="3">
        <v>0.011</v>
      </c>
      <c r="F276" s="3"/>
      <c r="G276" s="3"/>
      <c r="H276" s="3"/>
      <c r="I276" s="3"/>
      <c r="J276" s="3">
        <f t="shared" si="28"/>
        <v>0.0006759999999999897</v>
      </c>
      <c r="K276" s="3">
        <f t="shared" si="25"/>
        <v>0.025923999999999836</v>
      </c>
      <c r="L276" s="3">
        <f t="shared" si="26"/>
        <v>0.0006720537759999915</v>
      </c>
      <c r="M276" s="3">
        <v>3</v>
      </c>
    </row>
    <row r="277" spans="1:13" ht="12.75">
      <c r="A277" s="3">
        <f t="shared" si="27"/>
        <v>8</v>
      </c>
      <c r="B277" s="3" t="s">
        <v>135</v>
      </c>
      <c r="C277" s="3">
        <v>1889</v>
      </c>
      <c r="D277" s="20">
        <v>6.594</v>
      </c>
      <c r="E277" s="3">
        <v>0.15</v>
      </c>
      <c r="F277" s="3"/>
      <c r="G277" s="3"/>
      <c r="H277" s="3"/>
      <c r="I277" s="3"/>
      <c r="J277" s="3">
        <f t="shared" si="28"/>
        <v>0.007920999999999916</v>
      </c>
      <c r="K277" s="3">
        <f t="shared" si="25"/>
        <v>-0.06307599999999969</v>
      </c>
      <c r="L277" s="3">
        <f t="shared" si="26"/>
        <v>0.003978581775999961</v>
      </c>
      <c r="M277" s="3">
        <v>4</v>
      </c>
    </row>
    <row r="278" spans="1:13" ht="12.75">
      <c r="A278" s="3">
        <f t="shared" si="27"/>
        <v>9</v>
      </c>
      <c r="B278" s="3" t="s">
        <v>136</v>
      </c>
      <c r="C278" s="3">
        <v>1891</v>
      </c>
      <c r="D278" s="20">
        <v>6.6984</v>
      </c>
      <c r="E278" s="3">
        <v>0.004</v>
      </c>
      <c r="F278" s="3"/>
      <c r="G278" s="3"/>
      <c r="H278" s="3"/>
      <c r="I278" s="3"/>
      <c r="J278" s="3">
        <f t="shared" si="28"/>
        <v>0.01089936000000001</v>
      </c>
      <c r="K278" s="3">
        <f t="shared" si="25"/>
        <v>0.04132400000000036</v>
      </c>
      <c r="L278" s="3">
        <f t="shared" si="26"/>
        <v>0.0017076729760000298</v>
      </c>
      <c r="M278" s="3">
        <v>5</v>
      </c>
    </row>
    <row r="279" spans="1:13" ht="12.75">
      <c r="A279" s="3">
        <f t="shared" si="27"/>
        <v>10</v>
      </c>
      <c r="B279" s="3" t="s">
        <v>137</v>
      </c>
      <c r="C279" s="3">
        <v>1895</v>
      </c>
      <c r="D279" s="20">
        <v>6.658</v>
      </c>
      <c r="E279" s="3">
        <v>0.007</v>
      </c>
      <c r="F279" s="3"/>
      <c r="G279" s="3"/>
      <c r="H279" s="3"/>
      <c r="I279" s="3"/>
      <c r="J279" s="3">
        <f t="shared" si="28"/>
        <v>0.0016321599999999993</v>
      </c>
      <c r="K279" s="3">
        <f t="shared" si="25"/>
        <v>0.000924000000000369</v>
      </c>
      <c r="L279" s="3">
        <f t="shared" si="26"/>
        <v>8.537760000006818E-07</v>
      </c>
      <c r="M279" s="3">
        <v>5</v>
      </c>
    </row>
    <row r="280" spans="1:13" ht="12.75">
      <c r="A280" s="3">
        <f t="shared" si="27"/>
        <v>11</v>
      </c>
      <c r="B280" s="3" t="s">
        <v>138</v>
      </c>
      <c r="C280" s="3">
        <v>1895</v>
      </c>
      <c r="D280" s="20">
        <v>6.658</v>
      </c>
      <c r="E280" s="3">
        <v>0.002</v>
      </c>
      <c r="F280" s="3"/>
      <c r="G280" s="3"/>
      <c r="H280" s="3"/>
      <c r="I280" s="3"/>
      <c r="J280" s="3">
        <f t="shared" si="28"/>
        <v>0</v>
      </c>
      <c r="K280" s="3">
        <f t="shared" si="25"/>
        <v>0.000924000000000369</v>
      </c>
      <c r="L280" s="3">
        <f t="shared" si="26"/>
        <v>8.537760000006818E-07</v>
      </c>
      <c r="M280" s="3">
        <v>5</v>
      </c>
    </row>
    <row r="281" spans="1:13" ht="12.75">
      <c r="A281" s="3">
        <f t="shared" si="27"/>
        <v>12</v>
      </c>
      <c r="B281" s="3" t="s">
        <v>134</v>
      </c>
      <c r="C281" s="3">
        <v>1896</v>
      </c>
      <c r="D281" s="20">
        <v>6.685</v>
      </c>
      <c r="E281" s="3">
        <v>0.011</v>
      </c>
      <c r="F281" s="3"/>
      <c r="G281" s="3"/>
      <c r="H281" s="3"/>
      <c r="I281" s="3"/>
      <c r="J281" s="3">
        <f t="shared" si="28"/>
        <v>0.0007289999999999593</v>
      </c>
      <c r="K281" s="3">
        <f t="shared" si="25"/>
        <v>0.027923999999999616</v>
      </c>
      <c r="L281" s="3">
        <f t="shared" si="26"/>
        <v>0.0007797497759999785</v>
      </c>
      <c r="M281" s="3">
        <v>5</v>
      </c>
    </row>
    <row r="282" spans="1:13" ht="12.75">
      <c r="A282" s="3">
        <f t="shared" si="27"/>
        <v>13</v>
      </c>
      <c r="B282" s="3" t="s">
        <v>138</v>
      </c>
      <c r="C282" s="3">
        <v>1897</v>
      </c>
      <c r="D282" s="20">
        <v>6.649</v>
      </c>
      <c r="E282" s="3">
        <v>0.002</v>
      </c>
      <c r="F282" s="3"/>
      <c r="G282" s="3"/>
      <c r="H282" s="3"/>
      <c r="I282" s="3"/>
      <c r="J282" s="3">
        <f t="shared" si="28"/>
        <v>0.0012959999999999704</v>
      </c>
      <c r="K282" s="3">
        <f t="shared" si="25"/>
        <v>-0.008075999999999972</v>
      </c>
      <c r="L282" s="3">
        <f t="shared" si="26"/>
        <v>6.522177599999955E-05</v>
      </c>
      <c r="M282" s="3">
        <v>6</v>
      </c>
    </row>
    <row r="283" spans="1:13" ht="12.75">
      <c r="A283" s="3">
        <f t="shared" si="27"/>
        <v>14</v>
      </c>
      <c r="B283" s="3" t="s">
        <v>139</v>
      </c>
      <c r="C283" s="3">
        <v>1901</v>
      </c>
      <c r="D283" s="20">
        <v>6.64</v>
      </c>
      <c r="E283" s="3" t="s">
        <v>1</v>
      </c>
      <c r="F283" s="3"/>
      <c r="G283" s="3"/>
      <c r="H283" s="3"/>
      <c r="I283" s="3"/>
      <c r="J283" s="3">
        <f t="shared" si="28"/>
        <v>8.100000000000614E-05</v>
      </c>
      <c r="K283" s="3">
        <f t="shared" si="25"/>
        <v>-0.017076000000000313</v>
      </c>
      <c r="L283" s="3">
        <f t="shared" si="26"/>
        <v>0.0002915897760000107</v>
      </c>
      <c r="M283" s="3">
        <v>6</v>
      </c>
    </row>
    <row r="284" spans="1:13" ht="12.75">
      <c r="A284" s="3">
        <f t="shared" si="27"/>
        <v>15</v>
      </c>
      <c r="B284" s="3" t="s">
        <v>140</v>
      </c>
      <c r="C284" s="3">
        <v>1930</v>
      </c>
      <c r="D284" s="20">
        <v>6.6721</v>
      </c>
      <c r="E284" s="3">
        <v>0.0073</v>
      </c>
      <c r="F284" s="3"/>
      <c r="G284" s="3"/>
      <c r="H284" s="3"/>
      <c r="I284" s="3"/>
      <c r="J284" s="3">
        <f t="shared" si="28"/>
        <v>0.0010304100000000439</v>
      </c>
      <c r="K284" s="3">
        <f t="shared" si="25"/>
        <v>0.01502400000000037</v>
      </c>
      <c r="L284" s="3">
        <f t="shared" si="26"/>
        <v>0.00022572057600001114</v>
      </c>
      <c r="M284" s="3">
        <v>7</v>
      </c>
    </row>
    <row r="285" spans="1:13" ht="12.75">
      <c r="A285" s="3">
        <f t="shared" si="27"/>
        <v>16</v>
      </c>
      <c r="B285" s="3" t="s">
        <v>141</v>
      </c>
      <c r="C285" s="3">
        <v>1933</v>
      </c>
      <c r="D285" s="20">
        <v>6.659</v>
      </c>
      <c r="E285" s="3">
        <v>0.004</v>
      </c>
      <c r="F285" s="3"/>
      <c r="G285" s="3"/>
      <c r="H285" s="3"/>
      <c r="I285" s="3"/>
      <c r="J285" s="3">
        <f t="shared" si="28"/>
        <v>0.00017161000000001455</v>
      </c>
      <c r="K285" s="3">
        <f t="shared" si="25"/>
        <v>0.0019239999999998147</v>
      </c>
      <c r="L285" s="3">
        <f t="shared" si="26"/>
        <v>3.7017759999992873E-06</v>
      </c>
      <c r="M285" s="3">
        <v>7</v>
      </c>
    </row>
    <row r="286" spans="1:13" ht="12.75">
      <c r="A286" s="3">
        <f t="shared" si="27"/>
        <v>17</v>
      </c>
      <c r="B286" s="3" t="s">
        <v>142</v>
      </c>
      <c r="C286" s="3">
        <v>1942</v>
      </c>
      <c r="D286" s="20">
        <v>6.672</v>
      </c>
      <c r="E286" s="3">
        <v>0.0049</v>
      </c>
      <c r="F286" s="3"/>
      <c r="G286" s="3"/>
      <c r="H286" s="3"/>
      <c r="I286" s="3"/>
      <c r="J286" s="3">
        <f t="shared" si="28"/>
        <v>0.0001689999999999974</v>
      </c>
      <c r="K286" s="3">
        <f t="shared" si="25"/>
        <v>0.014923999999999715</v>
      </c>
      <c r="L286" s="3">
        <f t="shared" si="26"/>
        <v>0.0002227257759999915</v>
      </c>
      <c r="M286" s="3">
        <v>7</v>
      </c>
    </row>
    <row r="287" spans="1:13" ht="12.75">
      <c r="A287" s="3">
        <f t="shared" si="27"/>
        <v>18</v>
      </c>
      <c r="B287" t="s">
        <v>143</v>
      </c>
      <c r="C287" s="3">
        <v>1969</v>
      </c>
      <c r="D287" s="20">
        <v>6.674</v>
      </c>
      <c r="E287" s="3">
        <v>0.003</v>
      </c>
      <c r="F287" s="3"/>
      <c r="G287" s="3"/>
      <c r="H287" s="3"/>
      <c r="I287" s="3"/>
      <c r="J287" s="3">
        <f t="shared" si="28"/>
        <v>4.000000000002671E-06</v>
      </c>
      <c r="K287" s="3">
        <f t="shared" si="25"/>
        <v>0.016924000000000383</v>
      </c>
      <c r="L287" s="3">
        <f t="shared" si="26"/>
        <v>0.000286421776000013</v>
      </c>
      <c r="M287" s="3">
        <v>7</v>
      </c>
    </row>
    <row r="288" spans="1:13" ht="12.75">
      <c r="A288" s="3">
        <f t="shared" si="27"/>
        <v>19</v>
      </c>
      <c r="B288" s="3" t="s">
        <v>144</v>
      </c>
      <c r="C288" s="3">
        <v>1972</v>
      </c>
      <c r="D288" s="20">
        <v>6.6714</v>
      </c>
      <c r="E288" s="3">
        <v>0.0006</v>
      </c>
      <c r="F288" s="3"/>
      <c r="G288" s="3"/>
      <c r="H288" s="3"/>
      <c r="I288" s="3"/>
      <c r="J288" s="3">
        <f t="shared" si="28"/>
        <v>6.7600000000008204E-06</v>
      </c>
      <c r="K288" s="3">
        <f t="shared" si="25"/>
        <v>0.014324000000000225</v>
      </c>
      <c r="L288" s="3">
        <f t="shared" si="26"/>
        <v>0.00020517697600000646</v>
      </c>
      <c r="M288" s="3">
        <v>7</v>
      </c>
    </row>
    <row r="289" spans="1:13" ht="12.75">
      <c r="A289" s="3">
        <f t="shared" si="27"/>
        <v>20</v>
      </c>
      <c r="B289" s="3" t="s">
        <v>145</v>
      </c>
      <c r="C289" s="3">
        <v>1973</v>
      </c>
      <c r="D289" s="20">
        <v>6.67</v>
      </c>
      <c r="E289" s="3">
        <v>0.008</v>
      </c>
      <c r="F289" s="3"/>
      <c r="G289" s="3"/>
      <c r="H289" s="3"/>
      <c r="I289" s="3"/>
      <c r="J289" s="3">
        <f t="shared" si="28"/>
        <v>1.9600000000008118E-06</v>
      </c>
      <c r="K289" s="3">
        <f t="shared" si="25"/>
        <v>0.012923999999999936</v>
      </c>
      <c r="L289" s="3">
        <f t="shared" si="26"/>
        <v>0.00016702977599999833</v>
      </c>
      <c r="M289" s="3">
        <v>7</v>
      </c>
    </row>
    <row r="290" spans="1:13" ht="12.75">
      <c r="A290" s="3">
        <f t="shared" si="27"/>
        <v>21</v>
      </c>
      <c r="B290" s="3" t="s">
        <v>146</v>
      </c>
      <c r="C290" s="3">
        <v>1976</v>
      </c>
      <c r="D290" s="20">
        <v>6.668</v>
      </c>
      <c r="E290" s="3">
        <v>0.002</v>
      </c>
      <c r="F290" s="3"/>
      <c r="G290" s="3"/>
      <c r="H290" s="3"/>
      <c r="I290" s="3"/>
      <c r="J290" s="3">
        <f t="shared" si="28"/>
        <v>3.999999999999119E-06</v>
      </c>
      <c r="K290" s="3">
        <f t="shared" si="25"/>
        <v>0.010924000000000156</v>
      </c>
      <c r="L290" s="3">
        <f t="shared" si="26"/>
        <v>0.00011933377600000341</v>
      </c>
      <c r="M290" s="3">
        <v>7</v>
      </c>
    </row>
    <row r="291" spans="1:13" ht="12.75">
      <c r="A291" s="3">
        <f t="shared" si="27"/>
        <v>22</v>
      </c>
      <c r="B291" s="3" t="s">
        <v>143</v>
      </c>
      <c r="C291" s="3">
        <v>1976</v>
      </c>
      <c r="D291" s="20">
        <v>6.6699</v>
      </c>
      <c r="E291" s="3">
        <v>0.0014</v>
      </c>
      <c r="F291" s="3"/>
      <c r="G291" s="3"/>
      <c r="H291" s="3"/>
      <c r="I291" s="3"/>
      <c r="J291" s="3">
        <f t="shared" si="28"/>
        <v>3.6100000000000484E-06</v>
      </c>
      <c r="K291" s="3">
        <f t="shared" si="25"/>
        <v>0.012824000000000169</v>
      </c>
      <c r="L291" s="3">
        <f t="shared" si="26"/>
        <v>0.00016445497600000433</v>
      </c>
      <c r="M291" s="3">
        <v>7</v>
      </c>
    </row>
    <row r="292" spans="1:13" ht="12.75">
      <c r="A292" s="3">
        <f t="shared" si="27"/>
        <v>23</v>
      </c>
      <c r="B292" s="3" t="s">
        <v>147</v>
      </c>
      <c r="C292" s="3">
        <v>1977</v>
      </c>
      <c r="D292" s="20">
        <v>6.6745</v>
      </c>
      <c r="E292" s="3">
        <v>0.003</v>
      </c>
      <c r="F292" s="3"/>
      <c r="G292" s="3"/>
      <c r="H292" s="3"/>
      <c r="I292" s="3"/>
      <c r="J292" s="3">
        <f t="shared" si="28"/>
        <v>2.1159999999999425E-05</v>
      </c>
      <c r="K292" s="3">
        <f t="shared" si="25"/>
        <v>0.017424000000000106</v>
      </c>
      <c r="L292" s="3">
        <f t="shared" si="26"/>
        <v>0.0003035957760000037</v>
      </c>
      <c r="M292" s="3">
        <v>7</v>
      </c>
    </row>
    <row r="293" spans="1:13" ht="12.75">
      <c r="A293" s="3">
        <f t="shared" si="27"/>
        <v>24</v>
      </c>
      <c r="B293" s="3" t="s">
        <v>148</v>
      </c>
      <c r="C293" s="3">
        <v>1978</v>
      </c>
      <c r="D293" s="20">
        <v>6.712</v>
      </c>
      <c r="E293" s="3">
        <v>0.037</v>
      </c>
      <c r="F293" s="3"/>
      <c r="G293" s="3"/>
      <c r="H293" s="3"/>
      <c r="I293" s="3"/>
      <c r="J293" s="3">
        <f t="shared" si="28"/>
        <v>0.0014062499999999733</v>
      </c>
      <c r="K293" s="3">
        <f t="shared" si="25"/>
        <v>0.05492399999999975</v>
      </c>
      <c r="L293" s="3">
        <f t="shared" si="26"/>
        <v>0.0030166457759999727</v>
      </c>
      <c r="M293" s="3">
        <v>7</v>
      </c>
    </row>
    <row r="294" spans="1:13" ht="12.75">
      <c r="A294" s="3">
        <f t="shared" si="27"/>
        <v>25</v>
      </c>
      <c r="B294" s="3" t="s">
        <v>149</v>
      </c>
      <c r="C294" s="3">
        <v>1981</v>
      </c>
      <c r="D294" s="20">
        <v>6.6726</v>
      </c>
      <c r="E294" s="3">
        <v>0.0005</v>
      </c>
      <c r="F294" s="3"/>
      <c r="G294" s="3"/>
      <c r="H294" s="3"/>
      <c r="I294" s="3"/>
      <c r="J294" s="3">
        <f t="shared" si="28"/>
        <v>0.001552359999999973</v>
      </c>
      <c r="K294" s="3">
        <f t="shared" si="25"/>
        <v>0.015524000000000093</v>
      </c>
      <c r="L294" s="3"/>
      <c r="M294" s="3">
        <v>7</v>
      </c>
    </row>
    <row r="295" spans="1:13" ht="12.75">
      <c r="A295" s="3"/>
      <c r="B295" s="3"/>
      <c r="C295" s="11" t="s">
        <v>229</v>
      </c>
      <c r="D295" s="20">
        <f>AVERAGE(D270:D294)</f>
        <v>6.657076</v>
      </c>
      <c r="E295" s="3">
        <f>AVERAGE(E270:E294)</f>
        <v>0.023737499999999998</v>
      </c>
      <c r="F295" s="8"/>
      <c r="G295" s="9"/>
      <c r="H295" s="9"/>
      <c r="I295" s="9" t="s">
        <v>230</v>
      </c>
      <c r="J295" s="3">
        <f>SUM(J270:J294)</f>
        <v>0.1141866399999999</v>
      </c>
      <c r="K295" s="15">
        <f>SUM(K270:K294)</f>
        <v>8.881784197001252E-16</v>
      </c>
      <c r="L295" s="4">
        <f>SUM(L270:L294)</f>
        <v>0.06828921102399983</v>
      </c>
      <c r="M295" s="3"/>
    </row>
    <row r="296" spans="1:13" ht="12.75">
      <c r="A296" s="3"/>
      <c r="B296" s="3"/>
      <c r="C296" s="11" t="s">
        <v>231</v>
      </c>
      <c r="D296" s="20">
        <f>STDEV(D270:D294)</f>
        <v>0.053436179067643405</v>
      </c>
      <c r="E296" s="3">
        <f>STDEV(E270:E294)</f>
        <v>0.038210865885754675</v>
      </c>
      <c r="F296" s="10"/>
      <c r="G296" s="3"/>
      <c r="H296" s="3"/>
      <c r="I296" s="3"/>
      <c r="J296" s="3"/>
      <c r="K296" s="3"/>
      <c r="L296" s="4"/>
      <c r="M296" s="3"/>
    </row>
    <row r="297" spans="1:12" ht="15.75">
      <c r="A297" s="3"/>
      <c r="B297" s="3"/>
      <c r="C297" s="11" t="s">
        <v>232</v>
      </c>
      <c r="D297" s="20">
        <f>VAR(D270:D294)</f>
        <v>0.0028554252333492514</v>
      </c>
      <c r="E297" s="3">
        <f>VAR(E270:E294)</f>
        <v>0.0014600702717391305</v>
      </c>
      <c r="F297" s="3"/>
      <c r="G297" s="3"/>
      <c r="H297" s="3"/>
      <c r="I297" s="3"/>
      <c r="J297" s="2" t="s">
        <v>233</v>
      </c>
      <c r="L297" s="2" t="s">
        <v>234</v>
      </c>
    </row>
    <row r="298" spans="1:11" ht="13.5">
      <c r="A298" s="3"/>
      <c r="B298" s="3"/>
      <c r="C298" s="3"/>
      <c r="D298" s="3"/>
      <c r="E298" s="3"/>
      <c r="F298" s="3"/>
      <c r="G298" s="3"/>
      <c r="H298" s="3"/>
      <c r="I298" s="3"/>
      <c r="J298" s="6" t="s">
        <v>237</v>
      </c>
      <c r="K298" s="19">
        <f>J295/L295</f>
        <v>1.672103664513999</v>
      </c>
    </row>
    <row r="299" spans="1:11" ht="13.5">
      <c r="A299" s="3"/>
      <c r="B299" s="3"/>
      <c r="C299" s="3"/>
      <c r="D299" s="3"/>
      <c r="E299" s="3"/>
      <c r="F299" s="3"/>
      <c r="G299" s="3"/>
      <c r="H299" s="3"/>
      <c r="I299" s="11"/>
      <c r="J299" s="6" t="s">
        <v>239</v>
      </c>
      <c r="K299" s="19">
        <f>(M294-(K306+1))/K307</f>
        <v>-2.655920375967296</v>
      </c>
    </row>
    <row r="300" spans="1:11" ht="13.5">
      <c r="A300" s="3"/>
      <c r="B300" s="3"/>
      <c r="C300" s="3"/>
      <c r="D300" s="3"/>
      <c r="E300" s="3"/>
      <c r="F300" s="3"/>
      <c r="G300" s="3"/>
      <c r="H300" s="3"/>
      <c r="I300" s="3"/>
      <c r="J300" s="6" t="s">
        <v>14</v>
      </c>
      <c r="K300" s="19">
        <f>((K301)*(K303))/K304</f>
        <v>-1.423225965270846</v>
      </c>
    </row>
    <row r="301" spans="1:11" ht="12.75">
      <c r="A301" s="3"/>
      <c r="B301" s="3"/>
      <c r="C301" s="3"/>
      <c r="D301" s="3"/>
      <c r="E301" s="3"/>
      <c r="F301" s="3"/>
      <c r="G301" s="3"/>
      <c r="H301" s="3"/>
      <c r="I301" s="11"/>
      <c r="J301" t="s">
        <v>16</v>
      </c>
      <c r="K301">
        <f>D295-D294</f>
        <v>-0.015524000000000093</v>
      </c>
    </row>
    <row r="302" spans="1:11" ht="12.75">
      <c r="A302" s="3"/>
      <c r="B302" s="3"/>
      <c r="C302" s="3"/>
      <c r="D302" s="3"/>
      <c r="E302" s="3"/>
      <c r="F302" s="3"/>
      <c r="G302" s="3"/>
      <c r="H302" s="3"/>
      <c r="I302" s="11"/>
      <c r="J302" t="s">
        <v>20</v>
      </c>
      <c r="K302">
        <f>A294</f>
        <v>25</v>
      </c>
    </row>
    <row r="303" spans="1:11" ht="12.75">
      <c r="A303" s="3"/>
      <c r="B303" s="3"/>
      <c r="C303" s="3"/>
      <c r="D303" s="3"/>
      <c r="E303" s="3"/>
      <c r="F303" s="3"/>
      <c r="G303" s="3"/>
      <c r="H303" s="3"/>
      <c r="I303" s="11"/>
      <c r="J303" t="s">
        <v>23</v>
      </c>
      <c r="K303">
        <f>(K302-1)^0.5</f>
        <v>4.898979485566356</v>
      </c>
    </row>
    <row r="304" spans="1:11" ht="12.75">
      <c r="A304" s="3"/>
      <c r="B304" s="3"/>
      <c r="C304" s="3"/>
      <c r="D304" s="3"/>
      <c r="E304" s="3"/>
      <c r="F304" s="3"/>
      <c r="G304" s="3"/>
      <c r="H304" s="3"/>
      <c r="I304" s="11"/>
      <c r="J304" t="s">
        <v>231</v>
      </c>
      <c r="K304">
        <f>D296</f>
        <v>0.053436179067643405</v>
      </c>
    </row>
    <row r="305" spans="1:11" ht="12.75">
      <c r="A305" s="3"/>
      <c r="B305" s="3"/>
      <c r="C305" s="3"/>
      <c r="D305" s="3"/>
      <c r="E305" s="3"/>
      <c r="F305" s="3"/>
      <c r="G305" s="3"/>
      <c r="H305" s="3"/>
      <c r="I305" s="11"/>
      <c r="J305" t="s">
        <v>24</v>
      </c>
      <c r="K305">
        <f>A294</f>
        <v>25</v>
      </c>
    </row>
    <row r="306" spans="1:11" ht="12.75">
      <c r="A306" s="3"/>
      <c r="B306" s="3"/>
      <c r="C306" s="3"/>
      <c r="D306" s="3"/>
      <c r="E306" s="3"/>
      <c r="F306" s="3"/>
      <c r="G306" s="3"/>
      <c r="H306" s="3"/>
      <c r="I306" s="3"/>
      <c r="J306" t="s">
        <v>25</v>
      </c>
      <c r="K306">
        <f>K305/2</f>
        <v>12.5</v>
      </c>
    </row>
    <row r="307" spans="1:11" ht="12.75">
      <c r="A307" s="3"/>
      <c r="B307" s="3"/>
      <c r="C307" s="3"/>
      <c r="D307" s="3"/>
      <c r="E307" s="3"/>
      <c r="F307" s="3"/>
      <c r="G307" s="3"/>
      <c r="H307" s="3"/>
      <c r="I307" s="3"/>
      <c r="J307" t="s">
        <v>26</v>
      </c>
      <c r="K307">
        <f>((K306*(K306-1))/(K305-1))^0.5</f>
        <v>2.447362525931402</v>
      </c>
    </row>
    <row r="308" spans="1:13" ht="13.5">
      <c r="A308" s="3"/>
      <c r="B308" s="6" t="s">
        <v>124</v>
      </c>
      <c r="C308" s="3"/>
      <c r="D308" s="3" t="s">
        <v>150</v>
      </c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 t="s">
        <v>125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3.5">
      <c r="A311" s="6" t="s">
        <v>191</v>
      </c>
      <c r="B311" s="5" t="s">
        <v>126</v>
      </c>
      <c r="C311" s="5" t="s">
        <v>193</v>
      </c>
      <c r="D311" s="5" t="s">
        <v>127</v>
      </c>
      <c r="E311" s="6" t="s">
        <v>195</v>
      </c>
      <c r="F311" s="6"/>
      <c r="G311" s="6"/>
      <c r="H311" s="6"/>
      <c r="I311" s="6"/>
      <c r="J311" s="5" t="s">
        <v>199</v>
      </c>
      <c r="K311" s="5" t="s">
        <v>200</v>
      </c>
      <c r="L311" s="5" t="s">
        <v>201</v>
      </c>
      <c r="M311" s="5" t="s">
        <v>202</v>
      </c>
    </row>
    <row r="312" spans="1:13" ht="12.75">
      <c r="A312" s="3">
        <v>1</v>
      </c>
      <c r="B312" s="3" t="s">
        <v>128</v>
      </c>
      <c r="C312" s="3">
        <v>1798</v>
      </c>
      <c r="D312" s="20">
        <v>6.754</v>
      </c>
      <c r="E312" s="3">
        <v>0.041</v>
      </c>
      <c r="F312" s="3"/>
      <c r="G312" s="3"/>
      <c r="H312" s="3"/>
      <c r="I312" s="3"/>
      <c r="J312" s="3"/>
      <c r="K312" s="3">
        <f aca="true" t="shared" si="29" ref="K312:K331">(D312-$D$332)</f>
        <v>0.08020499999999853</v>
      </c>
      <c r="L312" s="3">
        <f aca="true" t="shared" si="30" ref="L312:L330">(K312)^2</f>
        <v>0.006432842024999764</v>
      </c>
      <c r="M312" s="3">
        <v>1</v>
      </c>
    </row>
    <row r="313" spans="1:13" ht="12.75">
      <c r="A313" s="3">
        <f aca="true" t="shared" si="31" ref="A313:A331">1+A312</f>
        <v>2</v>
      </c>
      <c r="B313" s="3" t="s">
        <v>131</v>
      </c>
      <c r="C313" s="3">
        <v>1872</v>
      </c>
      <c r="D313" s="20">
        <v>6.618</v>
      </c>
      <c r="E313" s="3">
        <v>0.017</v>
      </c>
      <c r="F313" s="3"/>
      <c r="G313" s="3"/>
      <c r="H313" s="3"/>
      <c r="I313" s="3"/>
      <c r="J313" s="3">
        <f aca="true" t="shared" si="32" ref="J313:J331">(D312-D313)^2</f>
        <v>0.01849599999999979</v>
      </c>
      <c r="K313" s="3">
        <f t="shared" si="29"/>
        <v>-0.055795000000000705</v>
      </c>
      <c r="L313" s="3">
        <f t="shared" si="30"/>
        <v>0.0031130820250000785</v>
      </c>
      <c r="M313" s="3">
        <v>2</v>
      </c>
    </row>
    <row r="314" spans="1:13" ht="12.75">
      <c r="A314" s="3">
        <f t="shared" si="31"/>
        <v>3</v>
      </c>
      <c r="B314" s="3" t="s">
        <v>133</v>
      </c>
      <c r="C314" s="3">
        <v>1886</v>
      </c>
      <c r="D314" s="20">
        <v>6.657</v>
      </c>
      <c r="E314" s="3">
        <v>0.013</v>
      </c>
      <c r="F314" s="3"/>
      <c r="G314" s="3"/>
      <c r="H314" s="3"/>
      <c r="I314" s="3"/>
      <c r="J314" s="3">
        <f t="shared" si="32"/>
        <v>0.0015209999999999768</v>
      </c>
      <c r="K314" s="3">
        <f t="shared" si="29"/>
        <v>-0.016795000000001004</v>
      </c>
      <c r="L314" s="3">
        <f t="shared" si="30"/>
        <v>0.0002820720250000337</v>
      </c>
      <c r="M314" s="3">
        <v>2</v>
      </c>
    </row>
    <row r="315" spans="1:13" ht="12.75">
      <c r="A315" s="3">
        <f t="shared" si="31"/>
        <v>4</v>
      </c>
      <c r="B315" s="3" t="s">
        <v>134</v>
      </c>
      <c r="C315" s="3">
        <v>1888</v>
      </c>
      <c r="D315" s="20">
        <v>6.683</v>
      </c>
      <c r="E315" s="3">
        <v>0.011</v>
      </c>
      <c r="F315" s="3"/>
      <c r="G315" s="3"/>
      <c r="H315" s="3"/>
      <c r="I315" s="3"/>
      <c r="J315" s="3">
        <f t="shared" si="32"/>
        <v>0.0006759999999999897</v>
      </c>
      <c r="K315" s="3">
        <f t="shared" si="29"/>
        <v>0.009204999999998797</v>
      </c>
      <c r="L315" s="3">
        <f t="shared" si="30"/>
        <v>8.473202499997786E-05</v>
      </c>
      <c r="M315" s="3">
        <v>3</v>
      </c>
    </row>
    <row r="316" spans="1:13" ht="12.75">
      <c r="A316" s="3">
        <f t="shared" si="31"/>
        <v>5</v>
      </c>
      <c r="B316" s="3" t="s">
        <v>136</v>
      </c>
      <c r="C316" s="3">
        <v>1891</v>
      </c>
      <c r="D316" s="20">
        <v>6.6984</v>
      </c>
      <c r="E316" s="3">
        <v>0.004</v>
      </c>
      <c r="F316" s="3"/>
      <c r="G316" s="3"/>
      <c r="H316" s="3"/>
      <c r="I316" s="3"/>
      <c r="J316" s="3">
        <f t="shared" si="32"/>
        <v>0.00023716000000001614</v>
      </c>
      <c r="K316" s="3">
        <f t="shared" si="29"/>
        <v>0.024604999999999322</v>
      </c>
      <c r="L316" s="3">
        <f t="shared" si="30"/>
        <v>0.0006054060249999667</v>
      </c>
      <c r="M316" s="3">
        <v>3</v>
      </c>
    </row>
    <row r="317" spans="1:13" ht="12.75">
      <c r="A317" s="3">
        <f t="shared" si="31"/>
        <v>6</v>
      </c>
      <c r="B317" s="3" t="s">
        <v>137</v>
      </c>
      <c r="C317" s="3">
        <v>1895</v>
      </c>
      <c r="D317" s="20">
        <v>6.658</v>
      </c>
      <c r="E317" s="3">
        <v>0.007</v>
      </c>
      <c r="F317" s="3"/>
      <c r="G317" s="3"/>
      <c r="H317" s="3"/>
      <c r="I317" s="3"/>
      <c r="J317" s="3">
        <f t="shared" si="32"/>
        <v>0.0016321599999999993</v>
      </c>
      <c r="K317" s="3">
        <f t="shared" si="29"/>
        <v>-0.01579500000000067</v>
      </c>
      <c r="L317" s="3">
        <f t="shared" si="30"/>
        <v>0.00024948202500002113</v>
      </c>
      <c r="M317" s="3">
        <v>4</v>
      </c>
    </row>
    <row r="318" spans="1:13" ht="12.75">
      <c r="A318" s="3">
        <f t="shared" si="31"/>
        <v>7</v>
      </c>
      <c r="B318" s="3" t="s">
        <v>138</v>
      </c>
      <c r="C318" s="3">
        <v>1895</v>
      </c>
      <c r="D318" s="20">
        <v>6.658</v>
      </c>
      <c r="E318" s="3">
        <v>0.002</v>
      </c>
      <c r="F318" s="3"/>
      <c r="G318" s="3"/>
      <c r="H318" s="3"/>
      <c r="I318" s="3"/>
      <c r="J318" s="3">
        <f t="shared" si="32"/>
        <v>0</v>
      </c>
      <c r="K318" s="3">
        <f t="shared" si="29"/>
        <v>-0.01579500000000067</v>
      </c>
      <c r="L318" s="3">
        <f t="shared" si="30"/>
        <v>0.00024948202500002113</v>
      </c>
      <c r="M318" s="3">
        <v>4</v>
      </c>
    </row>
    <row r="319" spans="1:13" ht="12.75">
      <c r="A319" s="3">
        <f t="shared" si="31"/>
        <v>8</v>
      </c>
      <c r="B319" s="3" t="s">
        <v>134</v>
      </c>
      <c r="C319" s="3">
        <v>1896</v>
      </c>
      <c r="D319" s="20">
        <v>6.685</v>
      </c>
      <c r="E319" s="3">
        <v>0.011</v>
      </c>
      <c r="F319" s="3"/>
      <c r="G319" s="3"/>
      <c r="H319" s="3"/>
      <c r="I319" s="3"/>
      <c r="J319" s="3">
        <f t="shared" si="32"/>
        <v>0.0007289999999999593</v>
      </c>
      <c r="K319" s="3">
        <f t="shared" si="29"/>
        <v>0.011204999999998577</v>
      </c>
      <c r="L319" s="3">
        <f t="shared" si="30"/>
        <v>0.00012555202499996813</v>
      </c>
      <c r="M319" s="3">
        <v>5</v>
      </c>
    </row>
    <row r="320" spans="1:13" ht="12.75">
      <c r="A320" s="3">
        <f t="shared" si="31"/>
        <v>9</v>
      </c>
      <c r="B320" s="3" t="s">
        <v>138</v>
      </c>
      <c r="C320" s="3">
        <v>1897</v>
      </c>
      <c r="D320" s="20">
        <v>6.649</v>
      </c>
      <c r="E320" s="3">
        <v>0.002</v>
      </c>
      <c r="F320" s="3"/>
      <c r="G320" s="3"/>
      <c r="H320" s="3"/>
      <c r="I320" s="3"/>
      <c r="J320" s="3">
        <f t="shared" si="32"/>
        <v>0.0012959999999999704</v>
      </c>
      <c r="K320" s="3">
        <f t="shared" si="29"/>
        <v>-0.02479500000000101</v>
      </c>
      <c r="L320" s="3">
        <f t="shared" si="30"/>
        <v>0.0006147920250000502</v>
      </c>
      <c r="M320" s="3">
        <v>6</v>
      </c>
    </row>
    <row r="321" spans="1:13" ht="12.75">
      <c r="A321" s="3">
        <f t="shared" si="31"/>
        <v>10</v>
      </c>
      <c r="B321" s="3" t="s">
        <v>140</v>
      </c>
      <c r="C321" s="3">
        <v>1930</v>
      </c>
      <c r="D321" s="20">
        <v>6.6721</v>
      </c>
      <c r="E321" s="3">
        <v>0.0073</v>
      </c>
      <c r="F321" s="3"/>
      <c r="G321" s="3"/>
      <c r="H321" s="3"/>
      <c r="I321" s="3"/>
      <c r="J321" s="3">
        <f t="shared" si="32"/>
        <v>0.0005336100000000158</v>
      </c>
      <c r="K321" s="3">
        <f t="shared" si="29"/>
        <v>-0.0016950000000006682</v>
      </c>
      <c r="L321" s="3">
        <f t="shared" si="30"/>
        <v>2.8730250000022653E-06</v>
      </c>
      <c r="M321" s="3">
        <v>6</v>
      </c>
    </row>
    <row r="322" spans="1:13" ht="12.75">
      <c r="A322" s="3">
        <f t="shared" si="31"/>
        <v>11</v>
      </c>
      <c r="B322" s="3" t="s">
        <v>141</v>
      </c>
      <c r="C322" s="3">
        <v>1933</v>
      </c>
      <c r="D322" s="20">
        <v>6.659</v>
      </c>
      <c r="E322" s="3">
        <v>0.004</v>
      </c>
      <c r="F322" s="3"/>
      <c r="G322" s="3"/>
      <c r="H322" s="3"/>
      <c r="I322" s="3"/>
      <c r="J322" s="3">
        <f t="shared" si="32"/>
        <v>0.00017161000000001455</v>
      </c>
      <c r="K322" s="3">
        <f t="shared" si="29"/>
        <v>-0.014795000000001224</v>
      </c>
      <c r="L322" s="3">
        <f t="shared" si="30"/>
        <v>0.0002188920250000362</v>
      </c>
      <c r="M322" s="3">
        <v>6</v>
      </c>
    </row>
    <row r="323" spans="1:13" ht="12.75">
      <c r="A323" s="3">
        <f t="shared" si="31"/>
        <v>12</v>
      </c>
      <c r="B323" s="3" t="s">
        <v>142</v>
      </c>
      <c r="C323" s="3">
        <v>1942</v>
      </c>
      <c r="D323" s="20">
        <v>6.672</v>
      </c>
      <c r="E323" s="3">
        <v>0.0049</v>
      </c>
      <c r="F323" s="3"/>
      <c r="G323" s="3"/>
      <c r="H323" s="3"/>
      <c r="I323" s="3"/>
      <c r="J323" s="3">
        <f t="shared" si="32"/>
        <v>0.0001689999999999974</v>
      </c>
      <c r="K323" s="3">
        <f t="shared" si="29"/>
        <v>-0.0017950000000013233</v>
      </c>
      <c r="L323" s="3">
        <f t="shared" si="30"/>
        <v>3.222025000004751E-06</v>
      </c>
      <c r="M323" s="3">
        <v>6</v>
      </c>
    </row>
    <row r="324" spans="1:13" ht="12.75">
      <c r="A324" s="3">
        <f t="shared" si="31"/>
        <v>13</v>
      </c>
      <c r="B324" t="s">
        <v>143</v>
      </c>
      <c r="C324" s="3">
        <v>1969</v>
      </c>
      <c r="D324" s="20">
        <v>6.674</v>
      </c>
      <c r="E324" s="3">
        <v>0.003</v>
      </c>
      <c r="F324" s="3"/>
      <c r="G324" s="3"/>
      <c r="H324" s="3"/>
      <c r="I324" s="3"/>
      <c r="J324" s="3">
        <f t="shared" si="32"/>
        <v>4.000000000002671E-06</v>
      </c>
      <c r="K324" s="3">
        <f t="shared" si="29"/>
        <v>0.0002049999999993446</v>
      </c>
      <c r="L324" s="3">
        <f t="shared" si="30"/>
        <v>4.2024999999731286E-08</v>
      </c>
      <c r="M324" s="3">
        <v>7</v>
      </c>
    </row>
    <row r="325" spans="1:13" ht="12.75">
      <c r="A325" s="3">
        <f t="shared" si="31"/>
        <v>14</v>
      </c>
      <c r="B325" s="3" t="s">
        <v>144</v>
      </c>
      <c r="C325" s="3">
        <v>1972</v>
      </c>
      <c r="D325" s="20">
        <v>6.6714</v>
      </c>
      <c r="E325" s="3">
        <v>0.0006</v>
      </c>
      <c r="F325" s="3"/>
      <c r="G325" s="3"/>
      <c r="H325" s="3"/>
      <c r="I325" s="3"/>
      <c r="J325" s="3">
        <f t="shared" si="32"/>
        <v>6.7600000000008204E-06</v>
      </c>
      <c r="K325" s="3">
        <f t="shared" si="29"/>
        <v>-0.002395000000000813</v>
      </c>
      <c r="L325" s="3">
        <f t="shared" si="30"/>
        <v>5.736025000003895E-06</v>
      </c>
      <c r="M325" s="3">
        <v>8</v>
      </c>
    </row>
    <row r="326" spans="1:13" ht="12.75">
      <c r="A326" s="3">
        <f t="shared" si="31"/>
        <v>15</v>
      </c>
      <c r="B326" s="3" t="s">
        <v>145</v>
      </c>
      <c r="C326" s="3">
        <v>1973</v>
      </c>
      <c r="D326" s="20">
        <v>6.67</v>
      </c>
      <c r="E326" s="3">
        <v>0.008</v>
      </c>
      <c r="F326" s="3"/>
      <c r="G326" s="3"/>
      <c r="H326" s="3"/>
      <c r="I326" s="3"/>
      <c r="J326" s="3">
        <f t="shared" si="32"/>
        <v>1.9600000000008118E-06</v>
      </c>
      <c r="K326" s="3">
        <f t="shared" si="29"/>
        <v>-0.003795000000001103</v>
      </c>
      <c r="L326" s="3">
        <f t="shared" si="30"/>
        <v>1.4402025000008372E-05</v>
      </c>
      <c r="M326" s="3">
        <v>8</v>
      </c>
    </row>
    <row r="327" spans="1:13" ht="12.75">
      <c r="A327" s="3">
        <f t="shared" si="31"/>
        <v>16</v>
      </c>
      <c r="B327" s="3" t="s">
        <v>146</v>
      </c>
      <c r="C327" s="3">
        <v>1976</v>
      </c>
      <c r="D327" s="20">
        <v>6.668</v>
      </c>
      <c r="E327" s="3">
        <v>0.002</v>
      </c>
      <c r="F327" s="3"/>
      <c r="G327" s="3"/>
      <c r="H327" s="3"/>
      <c r="I327" s="3"/>
      <c r="J327" s="3">
        <f t="shared" si="32"/>
        <v>3.999999999999119E-06</v>
      </c>
      <c r="K327" s="3">
        <f t="shared" si="29"/>
        <v>-0.005795000000000883</v>
      </c>
      <c r="L327" s="3">
        <f t="shared" si="30"/>
        <v>3.358202500001023E-05</v>
      </c>
      <c r="M327" s="3">
        <v>8</v>
      </c>
    </row>
    <row r="328" spans="1:13" ht="12.75">
      <c r="A328" s="3">
        <f t="shared" si="31"/>
        <v>17</v>
      </c>
      <c r="B328" s="3" t="s">
        <v>143</v>
      </c>
      <c r="C328" s="3">
        <v>1976</v>
      </c>
      <c r="D328" s="20">
        <v>6.6699</v>
      </c>
      <c r="E328" s="3">
        <v>0.0014</v>
      </c>
      <c r="F328" s="3"/>
      <c r="G328" s="3"/>
      <c r="H328" s="3"/>
      <c r="I328" s="3"/>
      <c r="J328" s="3">
        <f t="shared" si="32"/>
        <v>3.6100000000000484E-06</v>
      </c>
      <c r="K328" s="3">
        <f t="shared" si="29"/>
        <v>-0.00389500000000087</v>
      </c>
      <c r="L328" s="3">
        <f t="shared" si="30"/>
        <v>1.5171025000006777E-05</v>
      </c>
      <c r="M328" s="3">
        <v>8</v>
      </c>
    </row>
    <row r="329" spans="1:13" ht="12.75">
      <c r="A329" s="3">
        <f t="shared" si="31"/>
        <v>18</v>
      </c>
      <c r="B329" s="3" t="s">
        <v>147</v>
      </c>
      <c r="C329" s="3">
        <v>1977</v>
      </c>
      <c r="D329" s="20">
        <v>6.6745</v>
      </c>
      <c r="E329" s="3">
        <v>0.003</v>
      </c>
      <c r="F329" s="3"/>
      <c r="G329" s="3"/>
      <c r="H329" s="3"/>
      <c r="I329" s="3"/>
      <c r="J329" s="3">
        <f t="shared" si="32"/>
        <v>2.1159999999999425E-05</v>
      </c>
      <c r="K329" s="3">
        <f t="shared" si="29"/>
        <v>0.0007049999999990675</v>
      </c>
      <c r="L329" s="3">
        <f t="shared" si="30"/>
        <v>4.970249999986851E-07</v>
      </c>
      <c r="M329" s="3">
        <v>9</v>
      </c>
    </row>
    <row r="330" spans="1:13" ht="12.75">
      <c r="A330" s="3">
        <f t="shared" si="31"/>
        <v>19</v>
      </c>
      <c r="B330" s="3" t="s">
        <v>148</v>
      </c>
      <c r="C330" s="3">
        <v>1978</v>
      </c>
      <c r="D330" s="20">
        <v>6.712</v>
      </c>
      <c r="E330" s="3">
        <v>0.037</v>
      </c>
      <c r="F330" s="3"/>
      <c r="G330" s="3"/>
      <c r="H330" s="3"/>
      <c r="I330" s="3"/>
      <c r="J330" s="3">
        <f t="shared" si="32"/>
        <v>0.0014062499999999733</v>
      </c>
      <c r="K330" s="3">
        <f t="shared" si="29"/>
        <v>0.03820499999999871</v>
      </c>
      <c r="L330" s="3">
        <f t="shared" si="30"/>
        <v>0.0014596220249999015</v>
      </c>
      <c r="M330" s="3">
        <v>9</v>
      </c>
    </row>
    <row r="331" spans="1:13" ht="12.75">
      <c r="A331" s="3">
        <f t="shared" si="31"/>
        <v>20</v>
      </c>
      <c r="B331" s="3" t="s">
        <v>149</v>
      </c>
      <c r="C331" s="3">
        <v>1981</v>
      </c>
      <c r="D331" s="20">
        <v>6.6726</v>
      </c>
      <c r="E331" s="3">
        <v>0.0005</v>
      </c>
      <c r="F331" s="3"/>
      <c r="G331" s="3"/>
      <c r="H331" s="3"/>
      <c r="I331" s="3"/>
      <c r="J331" s="3">
        <f t="shared" si="32"/>
        <v>0.001552359999999973</v>
      </c>
      <c r="K331" s="3">
        <f t="shared" si="29"/>
        <v>-0.0011950000000009453</v>
      </c>
      <c r="L331" s="3"/>
      <c r="M331" s="3">
        <v>10</v>
      </c>
    </row>
    <row r="332" spans="1:13" ht="12.75">
      <c r="A332" s="3"/>
      <c r="B332" s="3"/>
      <c r="C332" s="11" t="s">
        <v>229</v>
      </c>
      <c r="D332" s="20">
        <f>AVERAGE(D312:D331)</f>
        <v>6.673795000000001</v>
      </c>
      <c r="E332" s="3">
        <f>AVERAGE(E312:E331)</f>
        <v>0.008985000000000002</v>
      </c>
      <c r="F332" s="8"/>
      <c r="G332" s="9"/>
      <c r="H332" s="9"/>
      <c r="I332" s="9" t="s">
        <v>230</v>
      </c>
      <c r="J332" s="3">
        <f>SUM(J312:J331)</f>
        <v>0.028461639999999684</v>
      </c>
      <c r="K332" s="15">
        <f>SUM(K312:K331)</f>
        <v>-1.9539925233402755E-14</v>
      </c>
      <c r="L332" s="4">
        <f>SUM(L312:L331)</f>
        <v>0.013511481474999856</v>
      </c>
      <c r="M332" s="3"/>
    </row>
    <row r="333" spans="1:13" ht="12.75">
      <c r="A333" s="3"/>
      <c r="B333" s="3"/>
      <c r="C333" s="11" t="s">
        <v>231</v>
      </c>
      <c r="D333" s="20">
        <f>STDEV(D312:D331)</f>
        <v>0.026668441333415734</v>
      </c>
      <c r="E333" s="3">
        <f>STDEV(E312:E331)</f>
        <v>0.01121621359320609</v>
      </c>
      <c r="F333" s="10"/>
      <c r="G333" s="3"/>
      <c r="H333" s="3"/>
      <c r="I333" s="3"/>
      <c r="J333" s="3"/>
      <c r="K333" s="3"/>
      <c r="L333" s="4"/>
      <c r="M333" s="3"/>
    </row>
    <row r="334" spans="1:12" ht="15.75">
      <c r="A334" s="3"/>
      <c r="B334" s="3"/>
      <c r="C334" s="11" t="s">
        <v>232</v>
      </c>
      <c r="D334" s="20">
        <f>VAR(D312:D331)</f>
        <v>0.0007112057631538368</v>
      </c>
      <c r="E334" s="3">
        <f>VAR(E312:E331)</f>
        <v>0.00012580344736842105</v>
      </c>
      <c r="F334" s="3"/>
      <c r="G334" s="3"/>
      <c r="H334" s="3"/>
      <c r="I334" s="3"/>
      <c r="J334" s="2" t="s">
        <v>233</v>
      </c>
      <c r="L334" s="2" t="s">
        <v>234</v>
      </c>
    </row>
    <row r="335" spans="1:11" ht="13.5">
      <c r="A335" s="3"/>
      <c r="B335" s="3"/>
      <c r="C335" s="3"/>
      <c r="D335" s="3"/>
      <c r="E335" s="3"/>
      <c r="F335" s="3"/>
      <c r="G335" s="3"/>
      <c r="H335" s="3"/>
      <c r="I335" s="3"/>
      <c r="J335" s="6" t="s">
        <v>237</v>
      </c>
      <c r="K335" s="19">
        <f>J332/L332</f>
        <v>2.106478112904343</v>
      </c>
    </row>
    <row r="336" spans="1:11" ht="13.5">
      <c r="A336" s="3"/>
      <c r="B336" s="3"/>
      <c r="C336" s="3"/>
      <c r="D336" s="3"/>
      <c r="E336" s="3"/>
      <c r="F336" s="3"/>
      <c r="G336" s="3"/>
      <c r="H336" s="3"/>
      <c r="I336" s="11"/>
      <c r="J336" s="6" t="s">
        <v>239</v>
      </c>
      <c r="K336" s="19">
        <f>(M331-(K343+1))/K344</f>
        <v>-0.45946829173634074</v>
      </c>
    </row>
    <row r="337" spans="1:11" ht="13.5">
      <c r="A337" s="3"/>
      <c r="B337" s="3"/>
      <c r="C337" s="3"/>
      <c r="D337" s="3"/>
      <c r="E337" s="3"/>
      <c r="F337" s="3"/>
      <c r="G337" s="3"/>
      <c r="H337" s="3"/>
      <c r="I337" s="3"/>
      <c r="J337" s="6" t="s">
        <v>14</v>
      </c>
      <c r="K337" s="19">
        <f>((K338)*(K340))/K341</f>
        <v>0.19532016035029615</v>
      </c>
    </row>
    <row r="338" spans="1:11" ht="12.75">
      <c r="A338" s="3"/>
      <c r="B338" s="3"/>
      <c r="C338" s="3"/>
      <c r="D338" s="3"/>
      <c r="E338" s="3"/>
      <c r="F338" s="3"/>
      <c r="G338" s="3"/>
      <c r="H338" s="3"/>
      <c r="I338" s="11"/>
      <c r="J338" t="s">
        <v>16</v>
      </c>
      <c r="K338">
        <f>D332-D331</f>
        <v>0.0011950000000009453</v>
      </c>
    </row>
    <row r="339" spans="1:11" ht="12.75">
      <c r="A339" s="3"/>
      <c r="B339" s="3"/>
      <c r="C339" s="3"/>
      <c r="D339" s="3"/>
      <c r="E339" s="3"/>
      <c r="F339" s="3"/>
      <c r="G339" s="3"/>
      <c r="H339" s="3"/>
      <c r="I339" s="11"/>
      <c r="J339" t="s">
        <v>20</v>
      </c>
      <c r="K339">
        <f>A331</f>
        <v>20</v>
      </c>
    </row>
    <row r="340" spans="1:11" ht="12.75">
      <c r="A340" s="3"/>
      <c r="B340" s="3"/>
      <c r="C340" s="3"/>
      <c r="D340" s="3"/>
      <c r="E340" s="3"/>
      <c r="F340" s="3"/>
      <c r="G340" s="3"/>
      <c r="H340" s="3"/>
      <c r="I340" s="11"/>
      <c r="J340" t="s">
        <v>23</v>
      </c>
      <c r="K340">
        <f>(K339-1)^0.5</f>
        <v>4.358898943540674</v>
      </c>
    </row>
    <row r="341" spans="1:11" ht="12.75">
      <c r="A341" s="3"/>
      <c r="B341" s="3"/>
      <c r="C341" s="3"/>
      <c r="D341" s="3"/>
      <c r="E341" s="3"/>
      <c r="F341" s="3"/>
      <c r="G341" s="3"/>
      <c r="H341" s="3"/>
      <c r="I341" s="11"/>
      <c r="J341" t="s">
        <v>231</v>
      </c>
      <c r="K341">
        <f>D333</f>
        <v>0.026668441333415734</v>
      </c>
    </row>
    <row r="342" spans="1:11" ht="12.75">
      <c r="A342" s="3"/>
      <c r="B342" s="3"/>
      <c r="C342" s="3"/>
      <c r="D342" s="3"/>
      <c r="E342" s="3"/>
      <c r="F342" s="3"/>
      <c r="G342" s="3"/>
      <c r="H342" s="3"/>
      <c r="I342" s="11"/>
      <c r="J342" t="s">
        <v>24</v>
      </c>
      <c r="K342">
        <f>A331</f>
        <v>20</v>
      </c>
    </row>
    <row r="343" spans="1:11" ht="12.75">
      <c r="A343" s="3"/>
      <c r="B343" s="3"/>
      <c r="C343" s="3"/>
      <c r="D343" s="3"/>
      <c r="E343" s="3"/>
      <c r="F343" s="3"/>
      <c r="G343" s="3"/>
      <c r="H343" s="3"/>
      <c r="I343" s="3"/>
      <c r="J343" t="s">
        <v>25</v>
      </c>
      <c r="K343">
        <f>K342/2</f>
        <v>10</v>
      </c>
    </row>
    <row r="344" spans="4:11" ht="12.75">
      <c r="D344" t="s">
        <v>151</v>
      </c>
      <c r="J344" t="s">
        <v>26</v>
      </c>
      <c r="K344">
        <f>((K343*(K343-1))/(K342-1))^0.5</f>
        <v>2.176428750330035</v>
      </c>
    </row>
    <row r="347" spans="1:5" s="1" customFormat="1" ht="18">
      <c r="A347" s="1" t="s">
        <v>185</v>
      </c>
      <c r="E347" s="1" t="s">
        <v>152</v>
      </c>
    </row>
    <row r="348" ht="12.75">
      <c r="A348" t="s">
        <v>153</v>
      </c>
    </row>
    <row r="352" spans="1:3" ht="15.75">
      <c r="A352" s="2" t="s">
        <v>188</v>
      </c>
      <c r="B352" s="2"/>
      <c r="C352" s="2"/>
    </row>
    <row r="353" ht="12.75">
      <c r="B353" t="s">
        <v>190</v>
      </c>
    </row>
    <row r="355" spans="1:13" ht="13.5">
      <c r="A355" s="5" t="s">
        <v>191</v>
      </c>
      <c r="B355" s="5" t="s">
        <v>192</v>
      </c>
      <c r="C355" s="5" t="s">
        <v>193</v>
      </c>
      <c r="D355" s="5" t="s">
        <v>194</v>
      </c>
      <c r="E355" s="5" t="s">
        <v>195</v>
      </c>
      <c r="F355" s="5" t="s">
        <v>196</v>
      </c>
      <c r="G355" s="5" t="s">
        <v>197</v>
      </c>
      <c r="H355" s="5" t="s">
        <v>154</v>
      </c>
      <c r="I355" s="5"/>
      <c r="J355" s="6" t="s">
        <v>199</v>
      </c>
      <c r="K355" s="6" t="s">
        <v>200</v>
      </c>
      <c r="L355" s="6" t="s">
        <v>201</v>
      </c>
      <c r="M355" s="6" t="s">
        <v>202</v>
      </c>
    </row>
    <row r="356" spans="1:13" ht="12.75">
      <c r="A356" s="3">
        <v>1</v>
      </c>
      <c r="B356" s="3" t="s">
        <v>203</v>
      </c>
      <c r="C356" s="4">
        <v>1913</v>
      </c>
      <c r="D356" s="20">
        <v>4.8049</v>
      </c>
      <c r="E356" s="4">
        <v>0.0022</v>
      </c>
      <c r="F356" s="4" t="s">
        <v>204</v>
      </c>
      <c r="G356" s="4">
        <v>233</v>
      </c>
      <c r="H356" s="21">
        <v>4.8049</v>
      </c>
      <c r="I356" s="4"/>
      <c r="K356" s="3">
        <f aca="true" t="shared" si="33" ref="K356:K391">(D356-$D$392)</f>
        <v>0.0030654999999999433</v>
      </c>
      <c r="L356" s="3">
        <f aca="true" t="shared" si="34" ref="L356:L390">(K356)^2</f>
        <v>9.397290249999652E-06</v>
      </c>
      <c r="M356" s="4">
        <v>1</v>
      </c>
    </row>
    <row r="357" spans="1:13" ht="12.75">
      <c r="A357" s="3">
        <f aca="true" t="shared" si="35" ref="A357:A391">A356+1</f>
        <v>2</v>
      </c>
      <c r="B357" s="3" t="s">
        <v>203</v>
      </c>
      <c r="C357" s="4">
        <v>1917</v>
      </c>
      <c r="D357" s="20">
        <v>4.8071</v>
      </c>
      <c r="E357" s="4">
        <v>0.0038</v>
      </c>
      <c r="F357" s="4" t="s">
        <v>204</v>
      </c>
      <c r="G357" s="4">
        <v>234</v>
      </c>
      <c r="H357" s="4">
        <f>AVERAGE(D357:D358)</f>
        <v>4.8065</v>
      </c>
      <c r="I357" s="4"/>
      <c r="J357" s="3">
        <f aca="true" t="shared" si="36" ref="J357:J391">(D356-D357)^2</f>
        <v>4.840000000000888E-06</v>
      </c>
      <c r="K357" s="3">
        <f t="shared" si="33"/>
        <v>0.005265500000000145</v>
      </c>
      <c r="L357" s="3">
        <f t="shared" si="34"/>
        <v>2.7725490250001527E-05</v>
      </c>
      <c r="M357" s="4">
        <v>1</v>
      </c>
    </row>
    <row r="358" spans="1:13" ht="12.75">
      <c r="A358" s="3">
        <f t="shared" si="35"/>
        <v>3</v>
      </c>
      <c r="B358" s="3" t="s">
        <v>203</v>
      </c>
      <c r="C358" s="4">
        <v>1917</v>
      </c>
      <c r="D358" s="20">
        <v>4.8059</v>
      </c>
      <c r="E358" s="4">
        <v>0.0052</v>
      </c>
      <c r="F358" s="4" t="s">
        <v>204</v>
      </c>
      <c r="G358" s="4">
        <v>234</v>
      </c>
      <c r="H358" s="4"/>
      <c r="I358" s="4"/>
      <c r="J358" s="3">
        <f t="shared" si="36"/>
        <v>1.4399999999996828E-06</v>
      </c>
      <c r="K358" s="3">
        <f t="shared" si="33"/>
        <v>0.004065500000000277</v>
      </c>
      <c r="L358" s="3">
        <f t="shared" si="34"/>
        <v>1.6528290250002254E-05</v>
      </c>
      <c r="M358" s="4">
        <v>1</v>
      </c>
    </row>
    <row r="359" spans="1:13" ht="12.75">
      <c r="A359" s="3">
        <f t="shared" si="35"/>
        <v>4</v>
      </c>
      <c r="B359" s="3" t="s">
        <v>203</v>
      </c>
      <c r="C359" s="4">
        <v>1920</v>
      </c>
      <c r="D359" s="20">
        <v>4.803</v>
      </c>
      <c r="E359" s="4">
        <v>0.005</v>
      </c>
      <c r="F359" s="4" t="s">
        <v>204</v>
      </c>
      <c r="G359" s="4">
        <v>235</v>
      </c>
      <c r="H359" s="21">
        <v>4.803</v>
      </c>
      <c r="I359" s="4"/>
      <c r="J359" s="3">
        <f t="shared" si="36"/>
        <v>8.410000000002012E-06</v>
      </c>
      <c r="K359" s="3">
        <f t="shared" si="33"/>
        <v>0.0011654999999999305</v>
      </c>
      <c r="L359" s="3">
        <f t="shared" si="34"/>
        <v>1.358390249999838E-06</v>
      </c>
      <c r="M359" s="4">
        <v>1</v>
      </c>
    </row>
    <row r="360" spans="1:13" ht="12.75">
      <c r="A360" s="3">
        <f t="shared" si="35"/>
        <v>5</v>
      </c>
      <c r="B360" s="3" t="s">
        <v>155</v>
      </c>
      <c r="C360" s="4">
        <v>1928</v>
      </c>
      <c r="D360" s="20">
        <v>4.7757</v>
      </c>
      <c r="E360" s="4">
        <v>0.0076</v>
      </c>
      <c r="F360" s="4" t="s">
        <v>211</v>
      </c>
      <c r="G360" s="4">
        <v>236</v>
      </c>
      <c r="H360" s="4">
        <f>AVERAGE(D360:D361)</f>
        <v>4.78485</v>
      </c>
      <c r="I360" s="4"/>
      <c r="J360" s="3">
        <f t="shared" si="36"/>
        <v>0.0007452900000000177</v>
      </c>
      <c r="K360" s="3">
        <f t="shared" si="33"/>
        <v>-0.026134500000000394</v>
      </c>
      <c r="L360" s="3">
        <f t="shared" si="34"/>
        <v>0.0006830120902500205</v>
      </c>
      <c r="M360" s="4">
        <v>2</v>
      </c>
    </row>
    <row r="361" spans="1:13" ht="12.75">
      <c r="A361" s="3">
        <f t="shared" si="35"/>
        <v>6</v>
      </c>
      <c r="B361" s="3" t="s">
        <v>156</v>
      </c>
      <c r="C361" s="4">
        <v>1928</v>
      </c>
      <c r="D361" s="20">
        <v>4.794</v>
      </c>
      <c r="E361" s="4">
        <v>0.015</v>
      </c>
      <c r="F361" s="4" t="s">
        <v>211</v>
      </c>
      <c r="G361" s="4">
        <v>237</v>
      </c>
      <c r="H361" s="4"/>
      <c r="I361" s="4"/>
      <c r="J361" s="3">
        <f t="shared" si="36"/>
        <v>0.00033488999999999936</v>
      </c>
      <c r="K361" s="3">
        <f t="shared" si="33"/>
        <v>-0.00783450000000041</v>
      </c>
      <c r="L361" s="3">
        <f t="shared" si="34"/>
        <v>6.137939025000643E-05</v>
      </c>
      <c r="M361" s="4">
        <v>2</v>
      </c>
    </row>
    <row r="362" spans="1:13" ht="12.75">
      <c r="A362" s="3">
        <f t="shared" si="35"/>
        <v>7</v>
      </c>
      <c r="B362" s="3" t="s">
        <v>207</v>
      </c>
      <c r="C362" s="4">
        <v>1929</v>
      </c>
      <c r="D362" s="20">
        <v>4.801</v>
      </c>
      <c r="E362" s="4">
        <v>0.005</v>
      </c>
      <c r="F362" s="4" t="s">
        <v>208</v>
      </c>
      <c r="G362" s="4">
        <v>238</v>
      </c>
      <c r="H362" s="21">
        <v>4.801</v>
      </c>
      <c r="I362" s="4"/>
      <c r="J362" s="3">
        <f t="shared" si="36"/>
        <v>4.900000000000786E-05</v>
      </c>
      <c r="K362" s="3">
        <f t="shared" si="33"/>
        <v>-0.0008344999999998493</v>
      </c>
      <c r="L362" s="3">
        <f t="shared" si="34"/>
        <v>6.963902499997484E-07</v>
      </c>
      <c r="M362" s="4">
        <v>2</v>
      </c>
    </row>
    <row r="363" spans="1:13" ht="12.75">
      <c r="A363" s="3">
        <f t="shared" si="35"/>
        <v>8</v>
      </c>
      <c r="B363" s="3" t="s">
        <v>209</v>
      </c>
      <c r="C363" s="4">
        <v>1931</v>
      </c>
      <c r="D363" s="20">
        <v>4.8022</v>
      </c>
      <c r="E363" s="4" t="s">
        <v>210</v>
      </c>
      <c r="F363" s="4" t="s">
        <v>211</v>
      </c>
      <c r="G363" s="4">
        <v>239</v>
      </c>
      <c r="H363" s="21">
        <v>4.8022</v>
      </c>
      <c r="I363" s="4"/>
      <c r="J363" s="3">
        <f t="shared" si="36"/>
        <v>1.4399999999996828E-06</v>
      </c>
      <c r="K363" s="3">
        <f t="shared" si="33"/>
        <v>0.0003655000000000186</v>
      </c>
      <c r="L363" s="3">
        <f t="shared" si="34"/>
        <v>1.3359025000001358E-07</v>
      </c>
      <c r="M363" s="4">
        <v>3</v>
      </c>
    </row>
    <row r="364" spans="1:13" ht="12.75">
      <c r="A364" s="3">
        <f t="shared" si="35"/>
        <v>9</v>
      </c>
      <c r="B364" s="3" t="s">
        <v>157</v>
      </c>
      <c r="C364" s="4">
        <v>1935</v>
      </c>
      <c r="D364" s="20">
        <v>4.8026</v>
      </c>
      <c r="E364" s="4">
        <v>0.003</v>
      </c>
      <c r="F364" s="4" t="s">
        <v>211</v>
      </c>
      <c r="G364" s="4">
        <v>240</v>
      </c>
      <c r="H364" s="4">
        <f>AVERAGE(D364:D366)</f>
        <v>4.802599999999999</v>
      </c>
      <c r="I364" s="4"/>
      <c r="J364" s="3">
        <f t="shared" si="36"/>
        <v>1.5999999999996475E-07</v>
      </c>
      <c r="K364" s="3">
        <f t="shared" si="33"/>
        <v>0.0007654999999999745</v>
      </c>
      <c r="L364" s="3">
        <f t="shared" si="34"/>
        <v>5.85990249999961E-07</v>
      </c>
      <c r="M364" s="4">
        <v>3</v>
      </c>
    </row>
    <row r="365" spans="1:13" ht="12.75">
      <c r="A365" s="3">
        <f t="shared" si="35"/>
        <v>10</v>
      </c>
      <c r="B365" s="3" t="s">
        <v>158</v>
      </c>
      <c r="C365" s="4">
        <v>1935</v>
      </c>
      <c r="D365" s="20">
        <v>4.8016</v>
      </c>
      <c r="E365" s="4" t="s">
        <v>210</v>
      </c>
      <c r="F365" s="4" t="s">
        <v>211</v>
      </c>
      <c r="G365" s="4">
        <v>241</v>
      </c>
      <c r="H365" s="4"/>
      <c r="I365" s="4"/>
      <c r="J365" s="3">
        <f t="shared" si="36"/>
        <v>1.0000000000006678E-06</v>
      </c>
      <c r="K365" s="3">
        <f t="shared" si="33"/>
        <v>-0.00023450000000035942</v>
      </c>
      <c r="L365" s="3">
        <f t="shared" si="34"/>
        <v>5.499025000016857E-08</v>
      </c>
      <c r="M365" s="4">
        <v>4</v>
      </c>
    </row>
    <row r="366" spans="1:13" ht="12.75">
      <c r="A366" s="3">
        <f t="shared" si="35"/>
        <v>11</v>
      </c>
      <c r="B366" s="3" t="s">
        <v>209</v>
      </c>
      <c r="C366" s="4">
        <v>1935</v>
      </c>
      <c r="D366" s="20">
        <v>4.8036</v>
      </c>
      <c r="E366" s="4">
        <v>0.0005</v>
      </c>
      <c r="F366" s="4" t="s">
        <v>211</v>
      </c>
      <c r="G366" s="4">
        <v>242</v>
      </c>
      <c r="H366" s="4"/>
      <c r="I366" s="4"/>
      <c r="J366" s="3">
        <f t="shared" si="36"/>
        <v>4.000000000002671E-06</v>
      </c>
      <c r="K366" s="3">
        <f t="shared" si="33"/>
        <v>0.0017655000000003085</v>
      </c>
      <c r="L366" s="3">
        <f t="shared" si="34"/>
        <v>3.1169902500010893E-06</v>
      </c>
      <c r="M366" s="4">
        <v>5</v>
      </c>
    </row>
    <row r="367" spans="1:13" ht="12.75">
      <c r="A367" s="3">
        <f t="shared" si="35"/>
        <v>12</v>
      </c>
      <c r="B367" s="3" t="s">
        <v>159</v>
      </c>
      <c r="C367" s="4">
        <v>1936</v>
      </c>
      <c r="D367" s="20">
        <v>4.799</v>
      </c>
      <c r="E367" s="4">
        <v>0.007</v>
      </c>
      <c r="F367" s="4" t="s">
        <v>21</v>
      </c>
      <c r="G367" s="4">
        <v>243</v>
      </c>
      <c r="H367" s="4">
        <f>AVERAGE(D367:D370)</f>
        <v>4.79945</v>
      </c>
      <c r="I367" s="4"/>
      <c r="J367" s="3">
        <f t="shared" si="36"/>
        <v>2.1159999999999425E-05</v>
      </c>
      <c r="K367" s="3">
        <f t="shared" si="33"/>
        <v>-0.002834499999999629</v>
      </c>
      <c r="L367" s="3">
        <f t="shared" si="34"/>
        <v>8.034390249997896E-06</v>
      </c>
      <c r="M367" s="4">
        <v>6</v>
      </c>
    </row>
    <row r="368" spans="1:13" ht="12.75">
      <c r="A368" s="3">
        <f t="shared" si="35"/>
        <v>13</v>
      </c>
      <c r="B368" s="3" t="s">
        <v>207</v>
      </c>
      <c r="C368" s="4">
        <v>1936</v>
      </c>
      <c r="D368" s="20">
        <v>4.8029</v>
      </c>
      <c r="E368" s="4">
        <v>0.0005</v>
      </c>
      <c r="F368" s="4" t="s">
        <v>208</v>
      </c>
      <c r="G368" s="4">
        <v>244</v>
      </c>
      <c r="H368" s="4"/>
      <c r="I368" s="4"/>
      <c r="J368" s="3">
        <f t="shared" si="36"/>
        <v>1.5209999999998382E-05</v>
      </c>
      <c r="K368" s="3">
        <f t="shared" si="33"/>
        <v>0.0010655000000001635</v>
      </c>
      <c r="L368" s="3">
        <f t="shared" si="34"/>
        <v>1.1352902500003485E-06</v>
      </c>
      <c r="M368" s="4">
        <v>7</v>
      </c>
    </row>
    <row r="369" spans="1:13" ht="12.75">
      <c r="A369" s="3">
        <f t="shared" si="35"/>
        <v>14</v>
      </c>
      <c r="B369" s="3" t="s">
        <v>159</v>
      </c>
      <c r="C369" s="4">
        <v>1936</v>
      </c>
      <c r="D369" s="20">
        <v>4.805</v>
      </c>
      <c r="E369" s="4" t="s">
        <v>210</v>
      </c>
      <c r="F369" s="4" t="s">
        <v>17</v>
      </c>
      <c r="G369" s="4">
        <v>245</v>
      </c>
      <c r="H369" s="4"/>
      <c r="I369" s="4"/>
      <c r="J369" s="3">
        <f t="shared" si="36"/>
        <v>4.409999999998096E-06</v>
      </c>
      <c r="K369" s="3">
        <f t="shared" si="33"/>
        <v>0.00316549999999971</v>
      </c>
      <c r="L369" s="3">
        <f t="shared" si="34"/>
        <v>1.0020390249998165E-05</v>
      </c>
      <c r="M369" s="4">
        <v>7</v>
      </c>
    </row>
    <row r="370" spans="1:13" ht="12.75">
      <c r="A370" s="3">
        <f t="shared" si="35"/>
        <v>15</v>
      </c>
      <c r="B370" s="3" t="s">
        <v>160</v>
      </c>
      <c r="C370" s="4">
        <v>1936</v>
      </c>
      <c r="D370" s="20">
        <v>4.7909</v>
      </c>
      <c r="E370" s="4">
        <v>0.0114</v>
      </c>
      <c r="F370" s="4" t="s">
        <v>204</v>
      </c>
      <c r="G370" s="4">
        <v>246</v>
      </c>
      <c r="H370" s="4"/>
      <c r="I370" s="4"/>
      <c r="J370" s="3">
        <f t="shared" si="36"/>
        <v>0.00019881000000000003</v>
      </c>
      <c r="K370" s="3">
        <f t="shared" si="33"/>
        <v>-0.010934500000000291</v>
      </c>
      <c r="L370" s="3">
        <f t="shared" si="34"/>
        <v>0.00011956329025000637</v>
      </c>
      <c r="M370" s="4">
        <v>8</v>
      </c>
    </row>
    <row r="371" spans="1:13" ht="12.75">
      <c r="A371" s="3">
        <f t="shared" si="35"/>
        <v>16</v>
      </c>
      <c r="B371" s="3" t="s">
        <v>73</v>
      </c>
      <c r="C371" s="4">
        <v>1938</v>
      </c>
      <c r="D371" s="20">
        <v>4.8015</v>
      </c>
      <c r="E371" s="4">
        <v>0.0004</v>
      </c>
      <c r="F371" s="4" t="s">
        <v>17</v>
      </c>
      <c r="G371" s="4">
        <v>248</v>
      </c>
      <c r="H371" s="4">
        <f>AVERAGE(D371:D373)</f>
        <v>4.802700000000001</v>
      </c>
      <c r="I371" s="4"/>
      <c r="J371" s="3">
        <f t="shared" si="36"/>
        <v>0.0001123600000000035</v>
      </c>
      <c r="K371" s="3">
        <f t="shared" si="33"/>
        <v>-0.00033450000000012636</v>
      </c>
      <c r="L371" s="3">
        <f t="shared" si="34"/>
        <v>1.1189025000008454E-07</v>
      </c>
      <c r="M371" s="4">
        <v>8</v>
      </c>
    </row>
    <row r="372" spans="1:13" ht="12.75">
      <c r="A372" s="3">
        <f t="shared" si="35"/>
        <v>17</v>
      </c>
      <c r="B372" s="3" t="s">
        <v>73</v>
      </c>
      <c r="C372" s="4">
        <v>1938</v>
      </c>
      <c r="D372" s="20">
        <v>4.8036</v>
      </c>
      <c r="E372" s="4">
        <v>0.0048</v>
      </c>
      <c r="F372" s="4" t="s">
        <v>240</v>
      </c>
      <c r="G372" s="4">
        <v>248</v>
      </c>
      <c r="H372" s="4"/>
      <c r="I372" s="4"/>
      <c r="J372" s="3">
        <f t="shared" si="36"/>
        <v>4.410000000001826E-06</v>
      </c>
      <c r="K372" s="3">
        <f t="shared" si="33"/>
        <v>0.0017655000000003085</v>
      </c>
      <c r="L372" s="3">
        <f t="shared" si="34"/>
        <v>3.1169902500010893E-06</v>
      </c>
      <c r="M372" s="4">
        <v>9</v>
      </c>
    </row>
    <row r="373" spans="1:13" ht="12.75">
      <c r="A373" s="3">
        <f t="shared" si="35"/>
        <v>18</v>
      </c>
      <c r="B373" s="3" t="s">
        <v>161</v>
      </c>
      <c r="C373" s="4">
        <v>1938</v>
      </c>
      <c r="D373" s="20">
        <v>4.803</v>
      </c>
      <c r="E373" s="4" t="s">
        <v>210</v>
      </c>
      <c r="F373" s="4" t="s">
        <v>208</v>
      </c>
      <c r="G373" s="4">
        <v>249</v>
      </c>
      <c r="H373" s="4"/>
      <c r="I373" s="4"/>
      <c r="J373" s="3">
        <f t="shared" si="36"/>
        <v>3.6000000000045363E-07</v>
      </c>
      <c r="K373" s="3">
        <f t="shared" si="33"/>
        <v>0.0011654999999999305</v>
      </c>
      <c r="L373" s="3">
        <f t="shared" si="34"/>
        <v>1.358390249999838E-06</v>
      </c>
      <c r="M373" s="4">
        <v>9</v>
      </c>
    </row>
    <row r="374" spans="1:13" ht="12.75">
      <c r="A374" s="3">
        <f t="shared" si="35"/>
        <v>19</v>
      </c>
      <c r="B374" s="3" t="s">
        <v>207</v>
      </c>
      <c r="C374" s="4">
        <v>1939</v>
      </c>
      <c r="D374" s="20">
        <v>4.8022</v>
      </c>
      <c r="E374" s="4">
        <v>0.001</v>
      </c>
      <c r="F374" s="4" t="s">
        <v>208</v>
      </c>
      <c r="G374" s="4">
        <v>250</v>
      </c>
      <c r="H374" s="4">
        <f>AVERAGE(D374:D376)</f>
        <v>4.801233333333333</v>
      </c>
      <c r="I374" s="4"/>
      <c r="J374" s="3">
        <f t="shared" si="36"/>
        <v>6.39999999999859E-07</v>
      </c>
      <c r="K374" s="3">
        <f t="shared" si="33"/>
        <v>0.0003655000000000186</v>
      </c>
      <c r="L374" s="3">
        <f t="shared" si="34"/>
        <v>1.3359025000001358E-07</v>
      </c>
      <c r="M374" s="4">
        <v>9</v>
      </c>
    </row>
    <row r="375" spans="1:13" ht="12.75">
      <c r="A375" s="3">
        <f t="shared" si="35"/>
        <v>20</v>
      </c>
      <c r="B375" s="3" t="s">
        <v>162</v>
      </c>
      <c r="C375" s="4">
        <v>1939</v>
      </c>
      <c r="D375" s="20">
        <v>4.801</v>
      </c>
      <c r="E375" s="4">
        <v>0.002</v>
      </c>
      <c r="F375" s="4" t="s">
        <v>211</v>
      </c>
      <c r="G375" s="4">
        <v>251</v>
      </c>
      <c r="H375" s="4"/>
      <c r="I375" s="4"/>
      <c r="J375" s="3">
        <f t="shared" si="36"/>
        <v>1.4399999999996828E-06</v>
      </c>
      <c r="K375" s="3">
        <f t="shared" si="33"/>
        <v>-0.0008344999999998493</v>
      </c>
      <c r="L375" s="3">
        <f t="shared" si="34"/>
        <v>6.963902499997484E-07</v>
      </c>
      <c r="M375" s="4">
        <v>10</v>
      </c>
    </row>
    <row r="376" spans="1:13" ht="12.75">
      <c r="A376" s="3">
        <f t="shared" si="35"/>
        <v>21</v>
      </c>
      <c r="B376" s="3" t="s">
        <v>162</v>
      </c>
      <c r="C376" s="4">
        <v>1939</v>
      </c>
      <c r="D376" s="20">
        <v>4.8005</v>
      </c>
      <c r="E376" s="4">
        <v>0.0004</v>
      </c>
      <c r="F376" s="4" t="s">
        <v>17</v>
      </c>
      <c r="G376" s="4">
        <v>251</v>
      </c>
      <c r="H376" s="4"/>
      <c r="I376" s="4"/>
      <c r="J376" s="3">
        <f t="shared" si="36"/>
        <v>2.499999999997229E-07</v>
      </c>
      <c r="K376" s="3">
        <f t="shared" si="33"/>
        <v>-0.0013344999999995721</v>
      </c>
      <c r="L376" s="3">
        <f t="shared" si="34"/>
        <v>1.780890249998858E-06</v>
      </c>
      <c r="M376" s="4">
        <v>10</v>
      </c>
    </row>
    <row r="377" spans="1:13" ht="12.75">
      <c r="A377" s="3">
        <f t="shared" si="35"/>
        <v>22</v>
      </c>
      <c r="B377" s="3" t="s">
        <v>218</v>
      </c>
      <c r="C377" s="4">
        <v>1940</v>
      </c>
      <c r="D377" s="20">
        <v>4.8065</v>
      </c>
      <c r="E377" s="4" t="s">
        <v>210</v>
      </c>
      <c r="F377" s="4" t="s">
        <v>208</v>
      </c>
      <c r="G377" s="4">
        <v>251</v>
      </c>
      <c r="H377" s="4">
        <f>AVERAGE(D377:D378)</f>
        <v>4.8101</v>
      </c>
      <c r="I377" s="4"/>
      <c r="J377" s="3">
        <f t="shared" si="36"/>
        <v>3.599999999999207E-05</v>
      </c>
      <c r="K377" s="3">
        <f t="shared" si="33"/>
        <v>0.004665499999999767</v>
      </c>
      <c r="L377" s="3">
        <f t="shared" si="34"/>
        <v>2.1766890249997826E-05</v>
      </c>
      <c r="M377" s="4">
        <v>11</v>
      </c>
    </row>
    <row r="378" spans="1:13" ht="12.75">
      <c r="A378" s="3">
        <f t="shared" si="35"/>
        <v>23</v>
      </c>
      <c r="B378" s="3" t="s">
        <v>219</v>
      </c>
      <c r="C378" s="4">
        <v>1940</v>
      </c>
      <c r="D378" s="20">
        <v>4.8137</v>
      </c>
      <c r="E378" s="4">
        <v>0.003</v>
      </c>
      <c r="F378" s="4" t="s">
        <v>204</v>
      </c>
      <c r="G378" s="4">
        <v>253</v>
      </c>
      <c r="H378" s="21">
        <v>4.8137</v>
      </c>
      <c r="I378" s="4"/>
      <c r="J378" s="3">
        <f t="shared" si="36"/>
        <v>5.1840000000001374E-05</v>
      </c>
      <c r="K378" s="3">
        <f t="shared" si="33"/>
        <v>0.011865499999999862</v>
      </c>
      <c r="L378" s="3">
        <f t="shared" si="34"/>
        <v>0.00014079009024999672</v>
      </c>
      <c r="M378" s="4">
        <v>11</v>
      </c>
    </row>
    <row r="379" spans="1:13" ht="12.75">
      <c r="A379" s="3">
        <f t="shared" si="35"/>
        <v>24</v>
      </c>
      <c r="B379" s="3" t="s">
        <v>207</v>
      </c>
      <c r="C379" s="4">
        <v>1941</v>
      </c>
      <c r="D379" s="20">
        <v>4.8025</v>
      </c>
      <c r="E379" s="4">
        <v>0.001</v>
      </c>
      <c r="F379" s="4" t="s">
        <v>17</v>
      </c>
      <c r="G379" s="4">
        <v>254</v>
      </c>
      <c r="H379" s="21">
        <v>4.8025</v>
      </c>
      <c r="I379" s="4"/>
      <c r="J379" s="3">
        <f t="shared" si="36"/>
        <v>0.00012543999999999227</v>
      </c>
      <c r="K379" s="3">
        <f t="shared" si="33"/>
        <v>0.0006655000000002076</v>
      </c>
      <c r="L379" s="3">
        <f t="shared" si="34"/>
        <v>4.428902500002763E-07</v>
      </c>
      <c r="M379" s="4">
        <v>11</v>
      </c>
    </row>
    <row r="380" spans="1:13" ht="12.75">
      <c r="A380" s="3">
        <f t="shared" si="35"/>
        <v>25</v>
      </c>
      <c r="B380" s="3" t="s">
        <v>207</v>
      </c>
      <c r="C380" s="4">
        <v>1944</v>
      </c>
      <c r="D380" s="20">
        <v>4.803</v>
      </c>
      <c r="E380" s="4">
        <v>0.0021</v>
      </c>
      <c r="F380" s="4" t="s">
        <v>208</v>
      </c>
      <c r="G380" s="4">
        <v>255</v>
      </c>
      <c r="H380" s="4">
        <f>AVERAGE(D380:D381)</f>
        <v>4.80255</v>
      </c>
      <c r="I380" s="4"/>
      <c r="J380" s="3">
        <f t="shared" si="36"/>
        <v>2.499999999997229E-07</v>
      </c>
      <c r="K380" s="3">
        <f t="shared" si="33"/>
        <v>0.0011654999999999305</v>
      </c>
      <c r="L380" s="3">
        <f t="shared" si="34"/>
        <v>1.358390249999838E-06</v>
      </c>
      <c r="M380" s="4">
        <v>11</v>
      </c>
    </row>
    <row r="381" spans="1:13" ht="12.75">
      <c r="A381" s="3">
        <f t="shared" si="35"/>
        <v>26</v>
      </c>
      <c r="B381" s="3" t="s">
        <v>207</v>
      </c>
      <c r="C381" s="4">
        <v>1944</v>
      </c>
      <c r="D381" s="20">
        <v>4.8021</v>
      </c>
      <c r="E381" s="4">
        <v>0.0006</v>
      </c>
      <c r="F381" s="4" t="s">
        <v>17</v>
      </c>
      <c r="G381" s="4">
        <v>255</v>
      </c>
      <c r="H381" s="4"/>
      <c r="I381" s="4"/>
      <c r="J381" s="3">
        <f t="shared" si="36"/>
        <v>8.099999999994219E-07</v>
      </c>
      <c r="K381" s="3">
        <f t="shared" si="33"/>
        <v>0.00026550000000025165</v>
      </c>
      <c r="L381" s="3">
        <f t="shared" si="34"/>
        <v>7.049025000013362E-08</v>
      </c>
      <c r="M381" s="4">
        <v>11</v>
      </c>
    </row>
    <row r="382" spans="1:13" ht="12.75">
      <c r="A382" s="3">
        <f t="shared" si="35"/>
        <v>27</v>
      </c>
      <c r="B382" s="3" t="s">
        <v>106</v>
      </c>
      <c r="C382" s="4">
        <v>1947</v>
      </c>
      <c r="D382" s="20">
        <v>4.80193</v>
      </c>
      <c r="E382" s="4">
        <v>0.0006</v>
      </c>
      <c r="F382" s="4" t="s">
        <v>17</v>
      </c>
      <c r="G382" s="4">
        <v>256</v>
      </c>
      <c r="H382" s="4">
        <f>AVERAGE(D382:D383)</f>
        <v>4.802165</v>
      </c>
      <c r="I382" s="4"/>
      <c r="J382" s="3">
        <f t="shared" si="36"/>
        <v>2.890000000022767E-08</v>
      </c>
      <c r="K382" s="3">
        <f t="shared" si="33"/>
        <v>9.549999999958203E-05</v>
      </c>
      <c r="L382" s="3">
        <f t="shared" si="34"/>
        <v>9.120249999920167E-09</v>
      </c>
      <c r="M382" s="4">
        <v>11</v>
      </c>
    </row>
    <row r="383" spans="1:13" ht="12.75">
      <c r="A383" s="3">
        <f t="shared" si="35"/>
        <v>28</v>
      </c>
      <c r="B383" s="3" t="s">
        <v>106</v>
      </c>
      <c r="C383" s="4">
        <v>1947</v>
      </c>
      <c r="D383" s="20">
        <v>4.8024</v>
      </c>
      <c r="E383" s="4">
        <v>0.0005</v>
      </c>
      <c r="F383" s="4" t="s">
        <v>208</v>
      </c>
      <c r="G383" s="4">
        <v>257</v>
      </c>
      <c r="H383" s="4"/>
      <c r="I383" s="4"/>
      <c r="J383" s="3">
        <f t="shared" si="36"/>
        <v>2.208999999999722E-07</v>
      </c>
      <c r="K383" s="3">
        <f t="shared" si="33"/>
        <v>0.0005654999999995525</v>
      </c>
      <c r="L383" s="3">
        <f t="shared" si="34"/>
        <v>3.1979024999949383E-07</v>
      </c>
      <c r="M383" s="4">
        <v>11</v>
      </c>
    </row>
    <row r="384" spans="1:13" ht="12.75">
      <c r="A384" s="3">
        <f t="shared" si="35"/>
        <v>29</v>
      </c>
      <c r="B384" s="3" t="s">
        <v>223</v>
      </c>
      <c r="C384" s="4">
        <v>1950</v>
      </c>
      <c r="D384" s="20">
        <v>4.80217</v>
      </c>
      <c r="E384" s="4">
        <v>6E-06</v>
      </c>
      <c r="F384" s="4" t="s">
        <v>208</v>
      </c>
      <c r="G384" s="4">
        <v>258</v>
      </c>
      <c r="H384" s="21">
        <v>4.80217</v>
      </c>
      <c r="I384" s="4"/>
      <c r="J384" s="3">
        <f t="shared" si="36"/>
        <v>5.289999999967171E-08</v>
      </c>
      <c r="K384" s="3">
        <f t="shared" si="33"/>
        <v>0.00033550000000026614</v>
      </c>
      <c r="L384" s="3">
        <f t="shared" si="34"/>
        <v>1.1256025000017858E-07</v>
      </c>
      <c r="M384" s="4">
        <v>11</v>
      </c>
    </row>
    <row r="385" spans="1:13" ht="12.75">
      <c r="A385" s="3">
        <f t="shared" si="35"/>
        <v>30</v>
      </c>
      <c r="B385" s="3" t="s">
        <v>106</v>
      </c>
      <c r="C385" s="4">
        <v>1952</v>
      </c>
      <c r="D385" s="20">
        <v>4.8022</v>
      </c>
      <c r="E385" s="4">
        <v>0.0001</v>
      </c>
      <c r="F385" s="4" t="s">
        <v>17</v>
      </c>
      <c r="G385" s="4">
        <v>259</v>
      </c>
      <c r="H385" s="4">
        <f>AVERAGE(D385:D386)</f>
        <v>4.8025400000000005</v>
      </c>
      <c r="I385" s="4"/>
      <c r="J385" s="3">
        <f t="shared" si="36"/>
        <v>8.999999999851468E-10</v>
      </c>
      <c r="K385" s="3">
        <f t="shared" si="33"/>
        <v>0.0003655000000000186</v>
      </c>
      <c r="L385" s="3">
        <f t="shared" si="34"/>
        <v>1.3359025000001358E-07</v>
      </c>
      <c r="M385" s="4">
        <v>11</v>
      </c>
    </row>
    <row r="386" spans="1:13" ht="12.75">
      <c r="A386" s="3">
        <f t="shared" si="35"/>
        <v>31</v>
      </c>
      <c r="B386" s="3" t="s">
        <v>106</v>
      </c>
      <c r="C386" s="4">
        <v>1952</v>
      </c>
      <c r="D386" s="20">
        <v>4.80288</v>
      </c>
      <c r="E386" s="4">
        <v>0.00021</v>
      </c>
      <c r="F386" s="4" t="s">
        <v>208</v>
      </c>
      <c r="G386" s="4">
        <v>259</v>
      </c>
      <c r="H386" s="4"/>
      <c r="I386" s="4"/>
      <c r="J386" s="3">
        <f t="shared" si="36"/>
        <v>4.6240000000001896E-07</v>
      </c>
      <c r="K386" s="3">
        <f t="shared" si="33"/>
        <v>0.0010455000000000325</v>
      </c>
      <c r="L386" s="3">
        <f t="shared" si="34"/>
        <v>1.093070250000068E-06</v>
      </c>
      <c r="M386" s="4">
        <v>11</v>
      </c>
    </row>
    <row r="387" spans="1:13" ht="12.75">
      <c r="A387" s="3">
        <f t="shared" si="35"/>
        <v>32</v>
      </c>
      <c r="B387" s="3" t="s">
        <v>225</v>
      </c>
      <c r="C387" s="4">
        <v>1955</v>
      </c>
      <c r="D387" s="20">
        <v>4.80286</v>
      </c>
      <c r="E387" s="4">
        <v>9E-05</v>
      </c>
      <c r="F387" s="4" t="s">
        <v>208</v>
      </c>
      <c r="G387" s="4">
        <v>260</v>
      </c>
      <c r="H387" s="21">
        <v>4.80286</v>
      </c>
      <c r="I387" s="4"/>
      <c r="J387" s="3">
        <f t="shared" si="36"/>
        <v>4.00000000005241E-10</v>
      </c>
      <c r="K387" s="3">
        <f t="shared" si="33"/>
        <v>0.0010254999999999015</v>
      </c>
      <c r="L387" s="3">
        <f t="shared" si="34"/>
        <v>1.051650249999798E-06</v>
      </c>
      <c r="M387" s="4">
        <v>11</v>
      </c>
    </row>
    <row r="388" spans="1:13" ht="12.75">
      <c r="A388" s="3">
        <f t="shared" si="35"/>
        <v>33</v>
      </c>
      <c r="B388" s="3" t="s">
        <v>226</v>
      </c>
      <c r="C388" s="4">
        <v>1963</v>
      </c>
      <c r="D388" s="20">
        <v>4.80298</v>
      </c>
      <c r="E388" s="4">
        <v>0.0002</v>
      </c>
      <c r="F388" s="4" t="s">
        <v>208</v>
      </c>
      <c r="G388" s="4">
        <v>261</v>
      </c>
      <c r="H388" s="21">
        <v>4.80298</v>
      </c>
      <c r="I388" s="4"/>
      <c r="J388" s="3">
        <f t="shared" si="36"/>
        <v>1.4399999999975512E-08</v>
      </c>
      <c r="K388" s="3">
        <f t="shared" si="33"/>
        <v>0.0011454999999997995</v>
      </c>
      <c r="L388" s="3">
        <f t="shared" si="34"/>
        <v>1.3121702499995405E-06</v>
      </c>
      <c r="M388" s="4">
        <v>11</v>
      </c>
    </row>
    <row r="389" spans="1:13" ht="12.75">
      <c r="A389" s="3">
        <f t="shared" si="35"/>
        <v>34</v>
      </c>
      <c r="B389" s="3" t="s">
        <v>226</v>
      </c>
      <c r="C389" s="4">
        <v>1965</v>
      </c>
      <c r="D389" s="20">
        <v>4.80313</v>
      </c>
      <c r="E389" s="4">
        <v>0.00014</v>
      </c>
      <c r="F389" s="4" t="s">
        <v>208</v>
      </c>
      <c r="G389" s="4">
        <v>262</v>
      </c>
      <c r="H389" s="21">
        <v>4.80313</v>
      </c>
      <c r="I389" s="4"/>
      <c r="J389" s="3">
        <f t="shared" si="36"/>
        <v>2.2500000000161578E-08</v>
      </c>
      <c r="K389" s="3">
        <f t="shared" si="33"/>
        <v>0.001295500000000338</v>
      </c>
      <c r="L389" s="3">
        <f t="shared" si="34"/>
        <v>1.678320250000876E-06</v>
      </c>
      <c r="M389" s="4">
        <v>11</v>
      </c>
    </row>
    <row r="390" spans="1:13" ht="12.75">
      <c r="A390" s="3">
        <f t="shared" si="35"/>
        <v>35</v>
      </c>
      <c r="B390" s="3" t="s">
        <v>227</v>
      </c>
      <c r="C390" s="4">
        <v>1969</v>
      </c>
      <c r="D390" s="20">
        <v>4.80325</v>
      </c>
      <c r="E390" s="4">
        <v>2.1E-06</v>
      </c>
      <c r="F390" s="4" t="s">
        <v>208</v>
      </c>
      <c r="G390" s="4">
        <v>263</v>
      </c>
      <c r="H390" s="21">
        <v>4.80325</v>
      </c>
      <c r="I390" s="4"/>
      <c r="J390" s="3">
        <f t="shared" si="36"/>
        <v>1.4399999999975512E-08</v>
      </c>
      <c r="K390" s="3">
        <f t="shared" si="33"/>
        <v>0.001415500000000236</v>
      </c>
      <c r="L390" s="3">
        <f t="shared" si="34"/>
        <v>2.003640250000668E-06</v>
      </c>
      <c r="M390" s="4">
        <v>11</v>
      </c>
    </row>
    <row r="391" spans="1:13" ht="12.75">
      <c r="A391" s="3">
        <f t="shared" si="35"/>
        <v>36</v>
      </c>
      <c r="B391" s="3" t="s">
        <v>228</v>
      </c>
      <c r="C391" s="4">
        <v>1973</v>
      </c>
      <c r="D391" s="20">
        <v>4.803242</v>
      </c>
      <c r="E391" s="4">
        <v>1.4E-06</v>
      </c>
      <c r="F391" s="4" t="s">
        <v>208</v>
      </c>
      <c r="G391" s="4">
        <v>264</v>
      </c>
      <c r="H391" s="21">
        <v>4.803242</v>
      </c>
      <c r="I391" s="4"/>
      <c r="J391" s="3">
        <f t="shared" si="36"/>
        <v>6.400000000368072E-11</v>
      </c>
      <c r="K391" s="3">
        <f t="shared" si="33"/>
        <v>0.001407500000000006</v>
      </c>
      <c r="L391" s="3"/>
      <c r="M391" s="4">
        <v>11</v>
      </c>
    </row>
    <row r="392" spans="1:13" ht="12.75">
      <c r="A392" s="3"/>
      <c r="B392" s="3"/>
      <c r="C392" s="11" t="s">
        <v>229</v>
      </c>
      <c r="D392" s="20">
        <f>AVERAGE(D356:D391)</f>
        <v>4.8018345</v>
      </c>
      <c r="E392" s="3">
        <f>AVERAGE(E356:E391)</f>
        <v>0.002688693548387098</v>
      </c>
      <c r="F392" s="8"/>
      <c r="G392" s="9"/>
      <c r="H392" s="9"/>
      <c r="I392" s="9" t="s">
        <v>230</v>
      </c>
      <c r="J392" s="3">
        <f>SUM(J357:J391)</f>
        <v>0.0017246777640000158</v>
      </c>
      <c r="K392" s="20">
        <f>SUM(K356:K391)</f>
        <v>0</v>
      </c>
      <c r="L392" s="4">
        <f>SUM(L356:L391)</f>
        <v>0.001122083058750029</v>
      </c>
      <c r="M392" s="3"/>
    </row>
    <row r="393" spans="1:13" ht="12.75">
      <c r="A393" s="3"/>
      <c r="B393" s="3"/>
      <c r="C393" s="11" t="s">
        <v>231</v>
      </c>
      <c r="D393" s="20">
        <f>STDEV(D356:D391)</f>
        <v>0.005667108396101437</v>
      </c>
      <c r="E393" s="3"/>
      <c r="F393" s="10"/>
      <c r="G393" s="3"/>
      <c r="H393" s="3"/>
      <c r="I393" s="3"/>
      <c r="J393" s="3"/>
      <c r="K393" s="3"/>
      <c r="L393" s="4"/>
      <c r="M393" s="3"/>
    </row>
    <row r="394" spans="1:12" ht="15.75">
      <c r="A394" s="3"/>
      <c r="B394" s="3"/>
      <c r="C394" s="11" t="s">
        <v>232</v>
      </c>
      <c r="D394" s="3">
        <f>VAR(D356:D391)</f>
        <v>3.21161175731634E-05</v>
      </c>
      <c r="E394" s="3"/>
      <c r="F394" s="3"/>
      <c r="G394" s="3"/>
      <c r="H394" s="3"/>
      <c r="I394" s="3"/>
      <c r="J394" s="2" t="s">
        <v>233</v>
      </c>
      <c r="L394" s="2" t="s">
        <v>234</v>
      </c>
    </row>
    <row r="395" spans="1:11" ht="13.5">
      <c r="A395" s="11" t="s">
        <v>235</v>
      </c>
      <c r="B395" s="11"/>
      <c r="C395" s="3"/>
      <c r="D395" s="3" t="s">
        <v>236</v>
      </c>
      <c r="E395" s="3"/>
      <c r="F395" s="3"/>
      <c r="G395" s="3"/>
      <c r="H395" s="3"/>
      <c r="I395" s="3"/>
      <c r="J395" s="6" t="s">
        <v>237</v>
      </c>
      <c r="K395" s="19">
        <f>J392/L392</f>
        <v>1.537032174713752</v>
      </c>
    </row>
    <row r="396" spans="1:11" ht="13.5">
      <c r="A396" s="3" t="s">
        <v>204</v>
      </c>
      <c r="B396" s="3" t="s">
        <v>238</v>
      </c>
      <c r="C396" s="11"/>
      <c r="D396" s="3"/>
      <c r="E396" s="3"/>
      <c r="F396" s="11"/>
      <c r="G396" s="11"/>
      <c r="H396" s="11"/>
      <c r="I396" s="11"/>
      <c r="J396" s="6" t="s">
        <v>239</v>
      </c>
      <c r="K396" s="19">
        <f>(M391-(K403+1))/K404</f>
        <v>-2.705598166378093</v>
      </c>
    </row>
    <row r="397" spans="1:11" ht="13.5">
      <c r="A397" s="3" t="s">
        <v>240</v>
      </c>
      <c r="B397" s="3" t="s">
        <v>12</v>
      </c>
      <c r="C397" s="11"/>
      <c r="D397" s="3" t="s">
        <v>13</v>
      </c>
      <c r="E397" s="3"/>
      <c r="F397" s="3"/>
      <c r="G397" s="3"/>
      <c r="H397" s="3"/>
      <c r="I397" s="3"/>
      <c r="J397" s="6" t="s">
        <v>14</v>
      </c>
      <c r="K397" s="19">
        <f>((K398)*(K400))/K401</f>
        <v>-1.4693352787183391</v>
      </c>
    </row>
    <row r="398" spans="1:11" ht="12.75">
      <c r="A398" s="3" t="s">
        <v>211</v>
      </c>
      <c r="B398" s="3" t="s">
        <v>15</v>
      </c>
      <c r="C398" s="3"/>
      <c r="D398" s="11"/>
      <c r="E398" s="3"/>
      <c r="F398" s="3"/>
      <c r="G398" s="3"/>
      <c r="H398" s="3"/>
      <c r="I398" s="3"/>
      <c r="J398" t="s">
        <v>16</v>
      </c>
      <c r="K398">
        <f>D392-D391</f>
        <v>-0.001407500000000006</v>
      </c>
    </row>
    <row r="399" spans="1:11" ht="12.75">
      <c r="A399" s="3" t="s">
        <v>17</v>
      </c>
      <c r="B399" s="3" t="s">
        <v>18</v>
      </c>
      <c r="C399" s="3"/>
      <c r="D399" s="3" t="s">
        <v>19</v>
      </c>
      <c r="E399" s="3"/>
      <c r="F399" s="3"/>
      <c r="G399" s="3"/>
      <c r="H399" s="3"/>
      <c r="I399" s="3"/>
      <c r="J399" t="s">
        <v>20</v>
      </c>
      <c r="K399">
        <f>A391</f>
        <v>36</v>
      </c>
    </row>
    <row r="400" spans="1:11" ht="12.75">
      <c r="A400" s="3" t="s">
        <v>21</v>
      </c>
      <c r="B400" s="3" t="s">
        <v>22</v>
      </c>
      <c r="C400" s="3"/>
      <c r="D400" s="3"/>
      <c r="E400" s="3"/>
      <c r="F400" s="3"/>
      <c r="G400" s="3"/>
      <c r="H400" s="3"/>
      <c r="I400" s="3"/>
      <c r="J400" t="s">
        <v>23</v>
      </c>
      <c r="K400">
        <f>(K399-1)^0.5</f>
        <v>5.916079783099616</v>
      </c>
    </row>
    <row r="401" spans="1:11" ht="12.75">
      <c r="A401" s="3"/>
      <c r="B401" s="3"/>
      <c r="C401" s="3"/>
      <c r="D401" s="3"/>
      <c r="E401" s="3"/>
      <c r="F401" s="3"/>
      <c r="G401" s="3"/>
      <c r="H401" s="3"/>
      <c r="I401" s="3"/>
      <c r="J401" t="s">
        <v>231</v>
      </c>
      <c r="K401">
        <f>D393</f>
        <v>0.005667108396101437</v>
      </c>
    </row>
    <row r="402" spans="1:11" ht="12.75">
      <c r="A402" s="3"/>
      <c r="B402" s="3"/>
      <c r="C402" s="3"/>
      <c r="D402" s="3"/>
      <c r="E402" s="3"/>
      <c r="F402" s="3"/>
      <c r="G402" s="3"/>
      <c r="H402" s="3"/>
      <c r="I402" s="3"/>
      <c r="J402" t="s">
        <v>24</v>
      </c>
      <c r="K402">
        <f>A391</f>
        <v>36</v>
      </c>
    </row>
    <row r="403" spans="1:11" ht="12.75">
      <c r="A403" s="3"/>
      <c r="B403" s="3"/>
      <c r="C403" s="11"/>
      <c r="D403" s="3"/>
      <c r="E403" s="3"/>
      <c r="F403" s="3"/>
      <c r="G403" s="3"/>
      <c r="H403" s="3"/>
      <c r="I403" s="3"/>
      <c r="J403" t="s">
        <v>25</v>
      </c>
      <c r="K403">
        <f>K402/2</f>
        <v>18</v>
      </c>
    </row>
    <row r="404" spans="1:13" s="1" customFormat="1" ht="18">
      <c r="A404" s="1" t="s">
        <v>185</v>
      </c>
      <c r="J404" t="s">
        <v>26</v>
      </c>
      <c r="K404">
        <f>((K403*(K403-1))/(K402-1))^0.5</f>
        <v>2.9568322818274866</v>
      </c>
      <c r="L404"/>
      <c r="M404"/>
    </row>
    <row r="405" ht="12.75">
      <c r="A405" t="s">
        <v>153</v>
      </c>
    </row>
    <row r="409" spans="1:3" ht="15.75">
      <c r="A409" s="2" t="s">
        <v>188</v>
      </c>
      <c r="B409" s="2"/>
      <c r="C409" s="2"/>
    </row>
    <row r="410" ht="12.75">
      <c r="B410" t="s">
        <v>190</v>
      </c>
    </row>
    <row r="412" spans="1:13" ht="13.5">
      <c r="A412" s="5" t="s">
        <v>191</v>
      </c>
      <c r="B412" s="5" t="s">
        <v>192</v>
      </c>
      <c r="C412" s="5" t="s">
        <v>193</v>
      </c>
      <c r="D412" s="5" t="s">
        <v>194</v>
      </c>
      <c r="E412" s="5" t="s">
        <v>195</v>
      </c>
      <c r="F412" s="5" t="s">
        <v>196</v>
      </c>
      <c r="G412" s="5" t="s">
        <v>197</v>
      </c>
      <c r="H412" s="5" t="s">
        <v>154</v>
      </c>
      <c r="I412" s="5"/>
      <c r="J412" s="6" t="s">
        <v>199</v>
      </c>
      <c r="K412" s="6" t="s">
        <v>200</v>
      </c>
      <c r="L412" s="6" t="s">
        <v>201</v>
      </c>
      <c r="M412" s="6" t="s">
        <v>202</v>
      </c>
    </row>
    <row r="413" spans="1:13" ht="12.75">
      <c r="A413" s="3">
        <v>1</v>
      </c>
      <c r="B413" s="3" t="s">
        <v>163</v>
      </c>
      <c r="C413" s="4">
        <v>1913</v>
      </c>
      <c r="D413" s="20">
        <v>4.8049</v>
      </c>
      <c r="E413" s="4">
        <v>0.0022</v>
      </c>
      <c r="F413" s="4" t="s">
        <v>204</v>
      </c>
      <c r="G413" s="4">
        <v>233</v>
      </c>
      <c r="H413" s="21">
        <v>4.8049</v>
      </c>
      <c r="I413" s="4"/>
      <c r="K413" s="3">
        <f aca="true" t="shared" si="37" ref="K413:K434">(D413-$D$435)</f>
        <v>0.002779000000000309</v>
      </c>
      <c r="L413" s="3">
        <f aca="true" t="shared" si="38" ref="L413:L433">(K413)^2</f>
        <v>7.722841000001718E-06</v>
      </c>
      <c r="M413" s="4">
        <v>1</v>
      </c>
    </row>
    <row r="414" spans="1:13" ht="12.75">
      <c r="A414" s="3">
        <f aca="true" t="shared" si="39" ref="A414:A434">A413+1</f>
        <v>2</v>
      </c>
      <c r="B414" s="3" t="s">
        <v>163</v>
      </c>
      <c r="C414" s="4">
        <v>1917</v>
      </c>
      <c r="D414" s="20">
        <v>4.8071</v>
      </c>
      <c r="E414" s="4">
        <v>0.0038</v>
      </c>
      <c r="F414" s="4" t="s">
        <v>204</v>
      </c>
      <c r="G414" s="4">
        <v>234</v>
      </c>
      <c r="H414" s="4">
        <f>AVERAGE(D414:D414)</f>
        <v>4.8071</v>
      </c>
      <c r="I414" s="4"/>
      <c r="J414" s="3">
        <f aca="true" t="shared" si="40" ref="J414:J434">(D413-D414)^2</f>
        <v>4.840000000000888E-06</v>
      </c>
      <c r="K414" s="3">
        <f t="shared" si="37"/>
        <v>0.004979000000000511</v>
      </c>
      <c r="L414" s="3">
        <f t="shared" si="38"/>
        <v>2.4790441000005087E-05</v>
      </c>
      <c r="M414" s="4">
        <v>1</v>
      </c>
    </row>
    <row r="415" spans="1:13" ht="12.75">
      <c r="A415" s="3">
        <f t="shared" si="39"/>
        <v>3</v>
      </c>
      <c r="B415" s="3" t="s">
        <v>163</v>
      </c>
      <c r="C415" s="4">
        <v>1920</v>
      </c>
      <c r="D415" s="20">
        <v>4.803</v>
      </c>
      <c r="E415" s="4">
        <v>0.005</v>
      </c>
      <c r="F415" s="4" t="s">
        <v>204</v>
      </c>
      <c r="G415" s="4">
        <v>235</v>
      </c>
      <c r="H415" s="21">
        <v>4.803</v>
      </c>
      <c r="I415" s="4"/>
      <c r="J415" s="3">
        <f t="shared" si="40"/>
        <v>1.681000000000176E-05</v>
      </c>
      <c r="K415" s="3">
        <f t="shared" si="37"/>
        <v>0.0008790000000002962</v>
      </c>
      <c r="L415" s="3">
        <f t="shared" si="38"/>
        <v>7.726410000005207E-07</v>
      </c>
      <c r="M415" s="4">
        <v>1</v>
      </c>
    </row>
    <row r="416" spans="1:13" ht="12.75">
      <c r="A416" s="3">
        <f t="shared" si="39"/>
        <v>4</v>
      </c>
      <c r="B416" s="3" t="s">
        <v>163</v>
      </c>
      <c r="C416" s="4">
        <v>1928</v>
      </c>
      <c r="D416" s="20">
        <v>4.7757</v>
      </c>
      <c r="E416" s="4">
        <v>0.0076</v>
      </c>
      <c r="F416" s="4" t="s">
        <v>211</v>
      </c>
      <c r="G416" s="4">
        <v>236</v>
      </c>
      <c r="H416" s="4">
        <f>AVERAGE(D416:D416)</f>
        <v>4.7757</v>
      </c>
      <c r="I416" s="4"/>
      <c r="J416" s="3">
        <f t="shared" si="40"/>
        <v>0.0007452900000000177</v>
      </c>
      <c r="K416" s="3">
        <f t="shared" si="37"/>
        <v>-0.026421000000000028</v>
      </c>
      <c r="L416" s="3">
        <f t="shared" si="38"/>
        <v>0.0006980692410000015</v>
      </c>
      <c r="M416" s="4">
        <v>2</v>
      </c>
    </row>
    <row r="417" spans="1:13" ht="12.75">
      <c r="A417" s="3">
        <f t="shared" si="39"/>
        <v>5</v>
      </c>
      <c r="B417" s="3" t="s">
        <v>163</v>
      </c>
      <c r="C417" s="4">
        <v>1929</v>
      </c>
      <c r="D417" s="20">
        <v>4.801</v>
      </c>
      <c r="E417" s="4">
        <v>0.005</v>
      </c>
      <c r="F417" s="4" t="s">
        <v>208</v>
      </c>
      <c r="G417" s="4">
        <v>238</v>
      </c>
      <c r="H417" s="21">
        <v>4.801</v>
      </c>
      <c r="I417" s="4"/>
      <c r="J417" s="3">
        <f t="shared" si="40"/>
        <v>0.0006400900000000275</v>
      </c>
      <c r="K417" s="3">
        <f t="shared" si="37"/>
        <v>-0.0011209999999994835</v>
      </c>
      <c r="L417" s="3">
        <f t="shared" si="38"/>
        <v>1.2566409999988421E-06</v>
      </c>
      <c r="M417" s="4">
        <v>2</v>
      </c>
    </row>
    <row r="418" spans="1:13" ht="12.75">
      <c r="A418" s="3">
        <f t="shared" si="39"/>
        <v>6</v>
      </c>
      <c r="B418" s="3" t="s">
        <v>163</v>
      </c>
      <c r="C418" s="4">
        <v>1931</v>
      </c>
      <c r="D418" s="20">
        <v>4.8022</v>
      </c>
      <c r="E418" s="4" t="s">
        <v>210</v>
      </c>
      <c r="F418" s="4" t="s">
        <v>211</v>
      </c>
      <c r="G418" s="4">
        <v>239</v>
      </c>
      <c r="H418" s="21">
        <v>4.8022</v>
      </c>
      <c r="I418" s="4"/>
      <c r="J418" s="3">
        <f t="shared" si="40"/>
        <v>1.4399999999996828E-06</v>
      </c>
      <c r="K418" s="3">
        <f t="shared" si="37"/>
        <v>7.900000000038432E-05</v>
      </c>
      <c r="L418" s="3">
        <f t="shared" si="38"/>
        <v>6.241000000060722E-09</v>
      </c>
      <c r="M418" s="4">
        <v>3</v>
      </c>
    </row>
    <row r="419" spans="1:13" ht="12.75">
      <c r="A419" s="3">
        <f t="shared" si="39"/>
        <v>7</v>
      </c>
      <c r="B419" s="3" t="s">
        <v>163</v>
      </c>
      <c r="C419" s="4">
        <v>1935</v>
      </c>
      <c r="D419" s="20">
        <v>4.8026</v>
      </c>
      <c r="E419" s="4">
        <v>0.003</v>
      </c>
      <c r="F419" s="4" t="s">
        <v>211</v>
      </c>
      <c r="G419" s="4">
        <v>240</v>
      </c>
      <c r="H419" s="4">
        <f>AVERAGE(D419:D419)</f>
        <v>4.8026</v>
      </c>
      <c r="I419" s="4"/>
      <c r="J419" s="3">
        <f t="shared" si="40"/>
        <v>1.5999999999996475E-07</v>
      </c>
      <c r="K419" s="3">
        <f t="shared" si="37"/>
        <v>0.00047900000000034026</v>
      </c>
      <c r="L419" s="3">
        <f t="shared" si="38"/>
        <v>2.2944100000032597E-07</v>
      </c>
      <c r="M419" s="4">
        <v>3</v>
      </c>
    </row>
    <row r="420" spans="1:13" ht="12.75">
      <c r="A420" s="3">
        <f t="shared" si="39"/>
        <v>8</v>
      </c>
      <c r="B420" s="3" t="s">
        <v>163</v>
      </c>
      <c r="C420" s="4">
        <v>1936</v>
      </c>
      <c r="D420" s="20">
        <v>4.799</v>
      </c>
      <c r="E420" s="4">
        <v>0.007</v>
      </c>
      <c r="F420" s="4" t="s">
        <v>21</v>
      </c>
      <c r="G420" s="4">
        <v>243</v>
      </c>
      <c r="H420" s="4">
        <f>AVERAGE(D420:D420)</f>
        <v>4.799</v>
      </c>
      <c r="I420" s="4"/>
      <c r="J420" s="3">
        <f t="shared" si="40"/>
        <v>1.2959999999997145E-05</v>
      </c>
      <c r="K420" s="3">
        <f t="shared" si="37"/>
        <v>-0.0031209999999992633</v>
      </c>
      <c r="L420" s="3">
        <f t="shared" si="38"/>
        <v>9.7406409999954E-06</v>
      </c>
      <c r="M420" s="4">
        <v>4</v>
      </c>
    </row>
    <row r="421" spans="1:13" ht="12.75">
      <c r="A421" s="3">
        <f t="shared" si="39"/>
        <v>9</v>
      </c>
      <c r="B421" s="3" t="s">
        <v>163</v>
      </c>
      <c r="C421" s="4">
        <v>1938</v>
      </c>
      <c r="D421" s="20">
        <v>4.8015</v>
      </c>
      <c r="E421" s="4">
        <v>0.0004</v>
      </c>
      <c r="F421" s="4" t="s">
        <v>17</v>
      </c>
      <c r="G421" s="4">
        <v>248</v>
      </c>
      <c r="H421" s="4">
        <f>AVERAGE(D421:D421)</f>
        <v>4.8015</v>
      </c>
      <c r="I421" s="4"/>
      <c r="J421" s="3">
        <f t="shared" si="40"/>
        <v>6.249999999997513E-06</v>
      </c>
      <c r="K421" s="3">
        <f t="shared" si="37"/>
        <v>-0.0006209999999997606</v>
      </c>
      <c r="L421" s="3">
        <f t="shared" si="38"/>
        <v>3.856409999997027E-07</v>
      </c>
      <c r="M421" s="4">
        <v>4</v>
      </c>
    </row>
    <row r="422" spans="1:13" ht="12.75">
      <c r="A422" s="3">
        <f t="shared" si="39"/>
        <v>10</v>
      </c>
      <c r="B422" s="3" t="s">
        <v>163</v>
      </c>
      <c r="C422" s="4">
        <v>1939</v>
      </c>
      <c r="D422" s="20">
        <v>4.8022</v>
      </c>
      <c r="E422" s="4">
        <v>0.001</v>
      </c>
      <c r="F422" s="4" t="s">
        <v>208</v>
      </c>
      <c r="G422" s="4">
        <v>250</v>
      </c>
      <c r="H422" s="4">
        <f>AVERAGE(D422:D422)</f>
        <v>4.8022</v>
      </c>
      <c r="I422" s="4"/>
      <c r="J422" s="3">
        <f t="shared" si="40"/>
        <v>4.900000000002029E-07</v>
      </c>
      <c r="K422" s="3">
        <f t="shared" si="37"/>
        <v>7.900000000038432E-05</v>
      </c>
      <c r="L422" s="3">
        <f t="shared" si="38"/>
        <v>6.241000000060722E-09</v>
      </c>
      <c r="M422" s="4">
        <v>5</v>
      </c>
    </row>
    <row r="423" spans="1:13" ht="12.75">
      <c r="A423" s="3">
        <f t="shared" si="39"/>
        <v>11</v>
      </c>
      <c r="B423" s="3" t="s">
        <v>163</v>
      </c>
      <c r="C423" s="4">
        <v>1940</v>
      </c>
      <c r="D423" s="20">
        <v>4.8065</v>
      </c>
      <c r="E423" s="4" t="s">
        <v>210</v>
      </c>
      <c r="F423" s="4" t="s">
        <v>208</v>
      </c>
      <c r="G423" s="4">
        <v>251</v>
      </c>
      <c r="H423" s="4">
        <f>AVERAGE(D423:D424)</f>
        <v>4.8101</v>
      </c>
      <c r="I423" s="4"/>
      <c r="J423" s="3">
        <f t="shared" si="40"/>
        <v>1.8489999999997836E-05</v>
      </c>
      <c r="K423" s="3">
        <f t="shared" si="37"/>
        <v>0.004379000000000133</v>
      </c>
      <c r="L423" s="3">
        <f t="shared" si="38"/>
        <v>1.9175641000001164E-05</v>
      </c>
      <c r="M423" s="4">
        <v>5</v>
      </c>
    </row>
    <row r="424" spans="1:13" ht="12.75">
      <c r="A424" s="3">
        <f t="shared" si="39"/>
        <v>12</v>
      </c>
      <c r="B424" s="3" t="s">
        <v>163</v>
      </c>
      <c r="C424" s="4">
        <v>1940</v>
      </c>
      <c r="D424" s="20">
        <v>4.8137</v>
      </c>
      <c r="E424" s="4">
        <v>0.003</v>
      </c>
      <c r="F424" s="4" t="s">
        <v>204</v>
      </c>
      <c r="G424" s="4">
        <v>253</v>
      </c>
      <c r="H424" s="21">
        <v>4.8137</v>
      </c>
      <c r="I424" s="4"/>
      <c r="J424" s="3">
        <f t="shared" si="40"/>
        <v>5.1840000000001374E-05</v>
      </c>
      <c r="K424" s="3">
        <f t="shared" si="37"/>
        <v>0.011579000000000228</v>
      </c>
      <c r="L424" s="3">
        <f t="shared" si="38"/>
        <v>0.0001340732410000053</v>
      </c>
      <c r="M424" s="4">
        <v>5</v>
      </c>
    </row>
    <row r="425" spans="1:13" ht="12.75">
      <c r="A425" s="3">
        <f t="shared" si="39"/>
        <v>13</v>
      </c>
      <c r="B425" s="3" t="s">
        <v>163</v>
      </c>
      <c r="C425" s="4">
        <v>1941</v>
      </c>
      <c r="D425" s="20">
        <v>4.8025</v>
      </c>
      <c r="E425" s="4">
        <v>0.001</v>
      </c>
      <c r="F425" s="4" t="s">
        <v>17</v>
      </c>
      <c r="G425" s="4">
        <v>254</v>
      </c>
      <c r="H425" s="21">
        <v>4.8025</v>
      </c>
      <c r="I425" s="4"/>
      <c r="J425" s="3">
        <f t="shared" si="40"/>
        <v>0.00012543999999999227</v>
      </c>
      <c r="K425" s="3">
        <f t="shared" si="37"/>
        <v>0.0003790000000005733</v>
      </c>
      <c r="L425" s="3">
        <f t="shared" si="38"/>
        <v>1.436410000004346E-07</v>
      </c>
      <c r="M425" s="4">
        <v>5</v>
      </c>
    </row>
    <row r="426" spans="1:13" ht="12.75">
      <c r="A426" s="3">
        <f t="shared" si="39"/>
        <v>14</v>
      </c>
      <c r="B426" s="3" t="s">
        <v>163</v>
      </c>
      <c r="C426" s="4">
        <v>1944</v>
      </c>
      <c r="D426" s="20">
        <v>4.803</v>
      </c>
      <c r="E426" s="4">
        <v>0.0021</v>
      </c>
      <c r="F426" s="4" t="s">
        <v>208</v>
      </c>
      <c r="G426" s="4">
        <v>255</v>
      </c>
      <c r="H426" s="4">
        <f>AVERAGE(D426:D426)</f>
        <v>4.803</v>
      </c>
      <c r="I426" s="4"/>
      <c r="J426" s="3">
        <f t="shared" si="40"/>
        <v>2.499999999997229E-07</v>
      </c>
      <c r="K426" s="3">
        <f t="shared" si="37"/>
        <v>0.0008790000000002962</v>
      </c>
      <c r="L426" s="3">
        <f t="shared" si="38"/>
        <v>7.726410000005207E-07</v>
      </c>
      <c r="M426" s="4">
        <v>5</v>
      </c>
    </row>
    <row r="427" spans="1:13" ht="12.75">
      <c r="A427" s="3">
        <f t="shared" si="39"/>
        <v>15</v>
      </c>
      <c r="B427" s="3" t="s">
        <v>163</v>
      </c>
      <c r="C427" s="4">
        <v>1947</v>
      </c>
      <c r="D427" s="20">
        <v>4.80193</v>
      </c>
      <c r="E427" s="4">
        <v>0.0006</v>
      </c>
      <c r="F427" s="4" t="s">
        <v>17</v>
      </c>
      <c r="G427" s="4">
        <v>256</v>
      </c>
      <c r="H427" s="4">
        <f>AVERAGE(D427:D427)</f>
        <v>4.80193</v>
      </c>
      <c r="I427" s="4"/>
      <c r="J427" s="3">
        <f t="shared" si="40"/>
        <v>1.1449000000007456E-06</v>
      </c>
      <c r="K427" s="3">
        <f t="shared" si="37"/>
        <v>-0.00019100000000005224</v>
      </c>
      <c r="L427" s="3">
        <f t="shared" si="38"/>
        <v>3.648100000001995E-08</v>
      </c>
      <c r="M427" s="4">
        <v>6</v>
      </c>
    </row>
    <row r="428" spans="1:13" ht="12.75">
      <c r="A428" s="3">
        <f t="shared" si="39"/>
        <v>16</v>
      </c>
      <c r="B428" s="3" t="s">
        <v>163</v>
      </c>
      <c r="C428" s="4">
        <v>1950</v>
      </c>
      <c r="D428" s="20">
        <v>4.80217</v>
      </c>
      <c r="E428" s="4">
        <v>6E-06</v>
      </c>
      <c r="F428" s="4" t="s">
        <v>208</v>
      </c>
      <c r="G428" s="4">
        <v>258</v>
      </c>
      <c r="H428" s="21">
        <v>4.80217</v>
      </c>
      <c r="I428" s="4"/>
      <c r="J428" s="3">
        <f t="shared" si="40"/>
        <v>5.760000000032837E-08</v>
      </c>
      <c r="K428" s="3">
        <f t="shared" si="37"/>
        <v>4.900000000063187E-05</v>
      </c>
      <c r="L428" s="3">
        <f t="shared" si="38"/>
        <v>2.4010000000619234E-09</v>
      </c>
      <c r="M428" s="4">
        <v>7</v>
      </c>
    </row>
    <row r="429" spans="1:13" ht="12.75">
      <c r="A429" s="3">
        <f t="shared" si="39"/>
        <v>17</v>
      </c>
      <c r="B429" s="3" t="s">
        <v>163</v>
      </c>
      <c r="C429" s="4">
        <v>1952</v>
      </c>
      <c r="D429" s="20">
        <v>4.8022</v>
      </c>
      <c r="E429" s="4">
        <v>0.0001</v>
      </c>
      <c r="F429" s="4" t="s">
        <v>17</v>
      </c>
      <c r="G429" s="4">
        <v>259</v>
      </c>
      <c r="H429" s="4">
        <f>AVERAGE(D429:D429)</f>
        <v>4.8022</v>
      </c>
      <c r="I429" s="4"/>
      <c r="J429" s="3">
        <f t="shared" si="40"/>
        <v>8.999999999851468E-10</v>
      </c>
      <c r="K429" s="3">
        <f t="shared" si="37"/>
        <v>7.900000000038432E-05</v>
      </c>
      <c r="L429" s="3">
        <f t="shared" si="38"/>
        <v>6.241000000060722E-09</v>
      </c>
      <c r="M429" s="4">
        <v>7</v>
      </c>
    </row>
    <row r="430" spans="1:13" ht="12.75">
      <c r="A430" s="3">
        <f t="shared" si="39"/>
        <v>18</v>
      </c>
      <c r="B430" s="3" t="s">
        <v>163</v>
      </c>
      <c r="C430" s="4">
        <v>1955</v>
      </c>
      <c r="D430" s="20">
        <v>4.80286</v>
      </c>
      <c r="E430" s="4">
        <v>9E-05</v>
      </c>
      <c r="F430" s="4" t="s">
        <v>208</v>
      </c>
      <c r="G430" s="4">
        <v>260</v>
      </c>
      <c r="H430" s="21">
        <v>4.80286</v>
      </c>
      <c r="I430" s="4"/>
      <c r="J430" s="3">
        <f t="shared" si="40"/>
        <v>4.355999999998454E-07</v>
      </c>
      <c r="K430" s="3">
        <f t="shared" si="37"/>
        <v>0.0007390000000002672</v>
      </c>
      <c r="L430" s="3">
        <f t="shared" si="38"/>
        <v>5.461210000003949E-07</v>
      </c>
      <c r="M430" s="4">
        <v>7</v>
      </c>
    </row>
    <row r="431" spans="1:13" ht="12.75">
      <c r="A431" s="3">
        <f t="shared" si="39"/>
        <v>19</v>
      </c>
      <c r="B431" s="3" t="s">
        <v>163</v>
      </c>
      <c r="C431" s="4">
        <v>1963</v>
      </c>
      <c r="D431" s="20">
        <v>4.80298</v>
      </c>
      <c r="E431" s="4">
        <v>0.0002</v>
      </c>
      <c r="F431" s="4" t="s">
        <v>208</v>
      </c>
      <c r="G431" s="4">
        <v>261</v>
      </c>
      <c r="H431" s="21">
        <v>4.80298</v>
      </c>
      <c r="I431" s="4"/>
      <c r="J431" s="3">
        <f t="shared" si="40"/>
        <v>1.4399999999975512E-08</v>
      </c>
      <c r="K431" s="3">
        <f t="shared" si="37"/>
        <v>0.0008590000000001652</v>
      </c>
      <c r="L431" s="3">
        <f t="shared" si="38"/>
        <v>7.378810000002838E-07</v>
      </c>
      <c r="M431" s="4">
        <v>7</v>
      </c>
    </row>
    <row r="432" spans="1:13" ht="12.75">
      <c r="A432" s="3">
        <f t="shared" si="39"/>
        <v>20</v>
      </c>
      <c r="B432" s="3" t="s">
        <v>163</v>
      </c>
      <c r="C432" s="4">
        <v>1965</v>
      </c>
      <c r="D432" s="20">
        <v>4.80313</v>
      </c>
      <c r="E432" s="4">
        <v>0.00014</v>
      </c>
      <c r="F432" s="4" t="s">
        <v>208</v>
      </c>
      <c r="G432" s="4">
        <v>262</v>
      </c>
      <c r="H432" s="21">
        <v>4.80313</v>
      </c>
      <c r="I432" s="4"/>
      <c r="J432" s="3">
        <f t="shared" si="40"/>
        <v>2.2500000000161578E-08</v>
      </c>
      <c r="K432" s="3">
        <f t="shared" si="37"/>
        <v>0.0010090000000007038</v>
      </c>
      <c r="L432" s="3">
        <f t="shared" si="38"/>
        <v>1.0180810000014202E-06</v>
      </c>
      <c r="M432" s="4">
        <v>7</v>
      </c>
    </row>
    <row r="433" spans="1:13" ht="12.75">
      <c r="A433" s="3">
        <f t="shared" si="39"/>
        <v>21</v>
      </c>
      <c r="B433" s="3" t="s">
        <v>163</v>
      </c>
      <c r="C433" s="4">
        <v>1969</v>
      </c>
      <c r="D433" s="20">
        <v>4.80325</v>
      </c>
      <c r="E433" s="4">
        <v>2.1E-06</v>
      </c>
      <c r="F433" s="4" t="s">
        <v>208</v>
      </c>
      <c r="G433" s="4">
        <v>263</v>
      </c>
      <c r="H433" s="21">
        <v>4.80325</v>
      </c>
      <c r="I433" s="4"/>
      <c r="J433" s="3">
        <f t="shared" si="40"/>
        <v>1.4399999999975512E-08</v>
      </c>
      <c r="K433" s="3">
        <f t="shared" si="37"/>
        <v>0.0011290000000006017</v>
      </c>
      <c r="L433" s="3">
        <f t="shared" si="38"/>
        <v>1.2746410000013588E-06</v>
      </c>
      <c r="M433" s="4">
        <v>7</v>
      </c>
    </row>
    <row r="434" spans="1:13" ht="12.75">
      <c r="A434" s="3">
        <f t="shared" si="39"/>
        <v>22</v>
      </c>
      <c r="B434" s="3" t="s">
        <v>163</v>
      </c>
      <c r="C434" s="4">
        <v>1973</v>
      </c>
      <c r="D434" s="20">
        <v>4.803242</v>
      </c>
      <c r="E434" s="4">
        <v>1.4E-06</v>
      </c>
      <c r="F434" s="4" t="s">
        <v>208</v>
      </c>
      <c r="G434" s="4">
        <v>264</v>
      </c>
      <c r="H434" s="21">
        <v>4.803242</v>
      </c>
      <c r="I434" s="4"/>
      <c r="J434" s="3">
        <f t="shared" si="40"/>
        <v>6.400000000368072E-11</v>
      </c>
      <c r="K434" s="3">
        <f t="shared" si="37"/>
        <v>0.0011210000000003717</v>
      </c>
      <c r="L434" s="3"/>
      <c r="M434" s="4">
        <v>7</v>
      </c>
    </row>
    <row r="435" spans="1:13" ht="12.75">
      <c r="A435" s="3"/>
      <c r="B435" s="3"/>
      <c r="C435" s="11" t="s">
        <v>229</v>
      </c>
      <c r="D435" s="20">
        <f>AVERAGE(D413:D434)</f>
        <v>4.802121</v>
      </c>
      <c r="E435" s="3">
        <f>AVERAGE(E413:E434)</f>
        <v>0.002111975</v>
      </c>
      <c r="F435" s="8"/>
      <c r="G435" s="9"/>
      <c r="H435" s="9"/>
      <c r="I435" s="9" t="s">
        <v>230</v>
      </c>
      <c r="J435" s="3">
        <f>SUM(J414:J434)</f>
        <v>0.0016260403640000344</v>
      </c>
      <c r="K435" s="20">
        <f>SUM(K413:K434)</f>
        <v>7.993605777301127E-15</v>
      </c>
      <c r="L435" s="4">
        <f>SUM(L413:L434)</f>
        <v>0.0009007670210000145</v>
      </c>
      <c r="M435" s="3"/>
    </row>
    <row r="436" spans="1:13" ht="12.75">
      <c r="A436" s="3"/>
      <c r="B436" s="3"/>
      <c r="C436" s="11" t="s">
        <v>231</v>
      </c>
      <c r="D436" s="20">
        <f>STDEV(D413:D434)</f>
        <v>0.006553892562133789</v>
      </c>
      <c r="E436" s="3"/>
      <c r="F436" s="10"/>
      <c r="G436" s="3"/>
      <c r="H436" s="3"/>
      <c r="I436" s="3"/>
      <c r="J436" s="3"/>
      <c r="K436" s="3"/>
      <c r="L436" s="4"/>
      <c r="M436" s="3"/>
    </row>
    <row r="437" spans="1:12" ht="15.75">
      <c r="A437" s="3"/>
      <c r="B437" s="3"/>
      <c r="C437" s="11" t="s">
        <v>232</v>
      </c>
      <c r="D437" s="3">
        <f>VAR(D413:D434)</f>
        <v>4.29535077159926E-05</v>
      </c>
      <c r="E437" s="3"/>
      <c r="F437" s="3"/>
      <c r="G437" s="3"/>
      <c r="H437" s="3"/>
      <c r="I437" s="3"/>
      <c r="J437" s="2" t="s">
        <v>233</v>
      </c>
      <c r="L437" s="2" t="s">
        <v>234</v>
      </c>
    </row>
    <row r="438" spans="1:11" ht="13.5">
      <c r="A438" s="11" t="s">
        <v>235</v>
      </c>
      <c r="B438" s="11"/>
      <c r="C438" s="3"/>
      <c r="D438" s="3" t="s">
        <v>236</v>
      </c>
      <c r="E438" s="3"/>
      <c r="F438" s="3"/>
      <c r="G438" s="3"/>
      <c r="H438" s="3"/>
      <c r="I438" s="3"/>
      <c r="J438" s="6" t="s">
        <v>237</v>
      </c>
      <c r="K438" s="19">
        <f>J435/L435</f>
        <v>1.8051730648340514</v>
      </c>
    </row>
    <row r="439" spans="1:11" ht="13.5">
      <c r="A439" s="3" t="s">
        <v>204</v>
      </c>
      <c r="B439" s="3" t="s">
        <v>238</v>
      </c>
      <c r="C439" s="11"/>
      <c r="D439" s="3"/>
      <c r="E439" s="3"/>
      <c r="F439" s="11"/>
      <c r="G439" s="11"/>
      <c r="H439" s="11"/>
      <c r="I439" s="11"/>
      <c r="J439" s="6" t="s">
        <v>239</v>
      </c>
      <c r="K439" s="19">
        <f>(M434-(K446+1))/K447</f>
        <v>-2.184657243763257</v>
      </c>
    </row>
    <row r="440" spans="1:11" ht="13.5">
      <c r="A440" s="3" t="s">
        <v>240</v>
      </c>
      <c r="B440" s="3" t="s">
        <v>12</v>
      </c>
      <c r="C440" s="11"/>
      <c r="D440" s="3" t="s">
        <v>13</v>
      </c>
      <c r="E440" s="3"/>
      <c r="F440" s="3"/>
      <c r="G440" s="3"/>
      <c r="H440" s="3"/>
      <c r="I440" s="3"/>
      <c r="J440" s="6" t="s">
        <v>14</v>
      </c>
      <c r="K440" s="19">
        <f>((K441)*(K443))/K444</f>
        <v>-0.7838192807321052</v>
      </c>
    </row>
    <row r="441" spans="1:11" ht="12.75">
      <c r="A441" s="3" t="s">
        <v>211</v>
      </c>
      <c r="B441" s="3" t="s">
        <v>15</v>
      </c>
      <c r="C441" s="3"/>
      <c r="D441" s="11"/>
      <c r="E441" s="3"/>
      <c r="F441" s="3"/>
      <c r="G441" s="3"/>
      <c r="H441" s="3"/>
      <c r="I441" s="3"/>
      <c r="J441" t="s">
        <v>16</v>
      </c>
      <c r="K441">
        <f>D435-D434</f>
        <v>-0.0011210000000003717</v>
      </c>
    </row>
    <row r="442" spans="1:11" ht="12.75">
      <c r="A442" s="3" t="s">
        <v>17</v>
      </c>
      <c r="B442" s="3" t="s">
        <v>18</v>
      </c>
      <c r="C442" s="3"/>
      <c r="D442" s="3" t="s">
        <v>19</v>
      </c>
      <c r="E442" s="3"/>
      <c r="F442" s="3"/>
      <c r="G442" s="3"/>
      <c r="H442" s="3"/>
      <c r="I442" s="3"/>
      <c r="J442" t="s">
        <v>20</v>
      </c>
      <c r="K442">
        <f>A434</f>
        <v>22</v>
      </c>
    </row>
    <row r="443" spans="1:11" ht="12.75">
      <c r="A443" s="3" t="s">
        <v>21</v>
      </c>
      <c r="B443" s="3" t="s">
        <v>22</v>
      </c>
      <c r="C443" s="3"/>
      <c r="D443" s="3"/>
      <c r="E443" s="3"/>
      <c r="F443" s="3"/>
      <c r="G443" s="3"/>
      <c r="H443" s="3"/>
      <c r="I443" s="3"/>
      <c r="J443" t="s">
        <v>23</v>
      </c>
      <c r="K443">
        <f>(K442-1)^0.5</f>
        <v>4.58257569495584</v>
      </c>
    </row>
    <row r="444" spans="1:11" ht="12.75">
      <c r="A444" s="3"/>
      <c r="B444" s="3"/>
      <c r="C444" s="3"/>
      <c r="D444" s="3"/>
      <c r="E444" s="3"/>
      <c r="F444" s="3"/>
      <c r="G444" s="3"/>
      <c r="H444" s="3"/>
      <c r="I444" s="3"/>
      <c r="J444" t="s">
        <v>231</v>
      </c>
      <c r="K444">
        <f>D436</f>
        <v>0.006553892562133789</v>
      </c>
    </row>
    <row r="445" spans="1:11" ht="12.75">
      <c r="A445" s="3"/>
      <c r="B445" s="3"/>
      <c r="C445" s="3"/>
      <c r="D445" s="3"/>
      <c r="E445" s="3"/>
      <c r="F445" s="3"/>
      <c r="G445" s="3"/>
      <c r="H445" s="3"/>
      <c r="I445" s="3"/>
      <c r="J445" t="s">
        <v>24</v>
      </c>
      <c r="K445">
        <f>A434</f>
        <v>22</v>
      </c>
    </row>
    <row r="446" spans="1:11" ht="12.75">
      <c r="A446" s="3"/>
      <c r="B446" s="3"/>
      <c r="C446" s="11"/>
      <c r="D446" s="3"/>
      <c r="E446" s="3"/>
      <c r="F446" s="3"/>
      <c r="G446" s="3"/>
      <c r="H446" s="3"/>
      <c r="I446" s="3"/>
      <c r="J446" t="s">
        <v>25</v>
      </c>
      <c r="K446">
        <f>K445/2</f>
        <v>11</v>
      </c>
    </row>
    <row r="447" spans="2:11" ht="12.75">
      <c r="B447" s="13" t="s">
        <v>59</v>
      </c>
      <c r="C447" s="13"/>
      <c r="J447" t="s">
        <v>26</v>
      </c>
      <c r="K447">
        <f>((K446*(K446-1))/(K445-1))^0.5</f>
        <v>2.2886885410853175</v>
      </c>
    </row>
    <row r="448" ht="12.75">
      <c r="B448" t="s">
        <v>60</v>
      </c>
    </row>
    <row r="449" ht="12.75">
      <c r="B449" t="s">
        <v>164</v>
      </c>
    </row>
    <row r="450" ht="12.75">
      <c r="B450" t="s">
        <v>165</v>
      </c>
    </row>
    <row r="451" spans="1:13" ht="13.5">
      <c r="A451" s="14" t="s">
        <v>191</v>
      </c>
      <c r="B451" s="5" t="s">
        <v>192</v>
      </c>
      <c r="C451" s="5" t="s">
        <v>193</v>
      </c>
      <c r="D451" s="5" t="s">
        <v>61</v>
      </c>
      <c r="E451" s="5" t="s">
        <v>62</v>
      </c>
      <c r="F451" s="14" t="s">
        <v>196</v>
      </c>
      <c r="G451" s="14" t="s">
        <v>197</v>
      </c>
      <c r="H451" s="14"/>
      <c r="I451" s="14"/>
      <c r="J451" s="5" t="s">
        <v>199</v>
      </c>
      <c r="K451" s="5" t="s">
        <v>200</v>
      </c>
      <c r="L451" s="5" t="s">
        <v>201</v>
      </c>
      <c r="M451" s="5" t="s">
        <v>202</v>
      </c>
    </row>
    <row r="452" spans="1:13" ht="12.75">
      <c r="A452" s="3">
        <v>1</v>
      </c>
      <c r="B452" s="3" t="s">
        <v>63</v>
      </c>
      <c r="C452" s="4">
        <v>1921</v>
      </c>
      <c r="D452" s="22">
        <v>1.37494</v>
      </c>
      <c r="E452" s="4" t="s">
        <v>210</v>
      </c>
      <c r="F452" s="3"/>
      <c r="G452" s="3"/>
      <c r="H452" s="3"/>
      <c r="I452" s="3"/>
      <c r="J452" s="3"/>
      <c r="K452" s="3">
        <f aca="true" t="shared" si="41" ref="K452:K477">D452-$D$478</f>
        <v>-0.0027272653846153183</v>
      </c>
      <c r="L452" s="3">
        <f aca="true" t="shared" si="42" ref="L452:L476">(K452)^2</f>
        <v>7.43797647812094E-06</v>
      </c>
      <c r="M452" s="3">
        <v>1</v>
      </c>
    </row>
    <row r="453" spans="1:13" ht="12.75">
      <c r="A453" s="3">
        <f aca="true" t="shared" si="43" ref="A453:A477">A452+1</f>
        <v>2</v>
      </c>
      <c r="B453" s="3" t="s">
        <v>64</v>
      </c>
      <c r="C453" s="4">
        <v>1926</v>
      </c>
      <c r="D453" s="22">
        <v>1.3753</v>
      </c>
      <c r="E453" s="4">
        <v>0.0027</v>
      </c>
      <c r="F453" s="3"/>
      <c r="G453" s="3"/>
      <c r="H453" s="3"/>
      <c r="I453" s="3"/>
      <c r="J453" s="15">
        <f aca="true" t="shared" si="44" ref="J453:J477">(D452-D453)^2</f>
        <v>1.2959999999993949E-07</v>
      </c>
      <c r="K453" s="3">
        <f t="shared" si="41"/>
        <v>-0.0023672653846154024</v>
      </c>
      <c r="L453" s="3">
        <f t="shared" si="42"/>
        <v>5.603945401198309E-06</v>
      </c>
      <c r="M453" s="3">
        <v>1</v>
      </c>
    </row>
    <row r="454" spans="1:13" ht="12.75">
      <c r="A454" s="3">
        <f t="shared" si="43"/>
        <v>3</v>
      </c>
      <c r="B454" s="3" t="s">
        <v>66</v>
      </c>
      <c r="C454" s="4">
        <v>1929</v>
      </c>
      <c r="D454" s="22">
        <v>1.37588</v>
      </c>
      <c r="E454" s="4" t="s">
        <v>210</v>
      </c>
      <c r="F454" s="3"/>
      <c r="G454" s="3"/>
      <c r="H454" s="3"/>
      <c r="I454" s="3"/>
      <c r="J454" s="15">
        <f t="shared" si="44"/>
        <v>3.364000000000289E-07</v>
      </c>
      <c r="K454" s="3">
        <f t="shared" si="41"/>
        <v>-0.0017872653846153774</v>
      </c>
      <c r="L454" s="3">
        <f t="shared" si="42"/>
        <v>3.194317555044353E-06</v>
      </c>
      <c r="M454" s="3">
        <v>1</v>
      </c>
    </row>
    <row r="455" spans="1:13" ht="12.75">
      <c r="A455" s="3">
        <f t="shared" si="43"/>
        <v>4</v>
      </c>
      <c r="B455" s="3" t="s">
        <v>68</v>
      </c>
      <c r="C455" s="4">
        <v>1931</v>
      </c>
      <c r="D455" s="22">
        <v>1.3753</v>
      </c>
      <c r="E455" s="4">
        <v>0.0025</v>
      </c>
      <c r="F455" s="3"/>
      <c r="G455" s="3"/>
      <c r="H455" s="3"/>
      <c r="I455" s="3"/>
      <c r="J455" s="15">
        <f t="shared" si="44"/>
        <v>3.364000000000289E-07</v>
      </c>
      <c r="K455" s="3">
        <f t="shared" si="41"/>
        <v>-0.0023672653846154024</v>
      </c>
      <c r="L455" s="3">
        <f t="shared" si="42"/>
        <v>5.603945401198309E-06</v>
      </c>
      <c r="M455" s="3">
        <v>1</v>
      </c>
    </row>
    <row r="456" spans="1:13" ht="12.75">
      <c r="A456" s="3">
        <f t="shared" si="43"/>
        <v>5</v>
      </c>
      <c r="B456" s="3" t="s">
        <v>166</v>
      </c>
      <c r="C456" s="4">
        <v>1934</v>
      </c>
      <c r="D456" s="22">
        <v>1.37541</v>
      </c>
      <c r="E456" s="4">
        <v>0.0001</v>
      </c>
      <c r="F456" s="3"/>
      <c r="G456" s="3"/>
      <c r="H456" s="3"/>
      <c r="I456" s="3"/>
      <c r="J456" s="15">
        <f t="shared" si="44"/>
        <v>1.210000000001199E-08</v>
      </c>
      <c r="K456" s="3">
        <f t="shared" si="41"/>
        <v>-0.002257265384615348</v>
      </c>
      <c r="L456" s="3">
        <f t="shared" si="42"/>
        <v>5.095247016582674E-06</v>
      </c>
      <c r="M456" s="3">
        <v>1</v>
      </c>
    </row>
    <row r="457" spans="1:13" ht="12.75">
      <c r="A457" s="3">
        <f t="shared" si="43"/>
        <v>6</v>
      </c>
      <c r="B457" s="3" t="s">
        <v>167</v>
      </c>
      <c r="C457" s="4">
        <v>1934</v>
      </c>
      <c r="D457" s="22">
        <v>1.375</v>
      </c>
      <c r="E457" s="4" t="s">
        <v>210</v>
      </c>
      <c r="F457" s="3"/>
      <c r="G457" s="3"/>
      <c r="H457" s="3"/>
      <c r="I457" s="3"/>
      <c r="J457" s="15">
        <f t="shared" si="44"/>
        <v>1.681000000000176E-07</v>
      </c>
      <c r="K457" s="3">
        <f t="shared" si="41"/>
        <v>-0.0026672653846153693</v>
      </c>
      <c r="L457" s="3">
        <f t="shared" si="42"/>
        <v>7.114304631967374E-06</v>
      </c>
      <c r="M457" s="3">
        <v>1</v>
      </c>
    </row>
    <row r="458" spans="1:13" ht="12.75">
      <c r="A458" s="3">
        <f t="shared" si="43"/>
        <v>7</v>
      </c>
      <c r="B458" s="3" t="s">
        <v>70</v>
      </c>
      <c r="C458" s="4">
        <v>1935</v>
      </c>
      <c r="D458" s="22">
        <v>1.3737</v>
      </c>
      <c r="E458" s="4">
        <v>0.0018</v>
      </c>
      <c r="F458" s="3"/>
      <c r="G458" s="3"/>
      <c r="H458" s="3"/>
      <c r="I458" s="3"/>
      <c r="J458" s="15">
        <f t="shared" si="44"/>
        <v>1.6900000000002051E-06</v>
      </c>
      <c r="K458" s="3">
        <f t="shared" si="41"/>
        <v>-0.003967265384615448</v>
      </c>
      <c r="L458" s="3">
        <f t="shared" si="42"/>
        <v>1.573919463196796E-05</v>
      </c>
      <c r="M458" s="3">
        <v>1</v>
      </c>
    </row>
    <row r="459" spans="1:13" ht="12.75">
      <c r="A459" s="3">
        <f t="shared" si="43"/>
        <v>8</v>
      </c>
      <c r="B459" s="3" t="s">
        <v>71</v>
      </c>
      <c r="C459" s="4">
        <v>1935</v>
      </c>
      <c r="D459" s="22">
        <v>1.3775</v>
      </c>
      <c r="E459" s="4">
        <v>0.0004</v>
      </c>
      <c r="F459" s="3"/>
      <c r="G459" s="3"/>
      <c r="H459" s="3"/>
      <c r="I459" s="3"/>
      <c r="J459" s="15">
        <f t="shared" si="44"/>
        <v>1.4440000000000194E-05</v>
      </c>
      <c r="K459" s="3">
        <f t="shared" si="41"/>
        <v>-0.00016726538461542262</v>
      </c>
      <c r="L459" s="3">
        <f t="shared" si="42"/>
        <v>2.797770889054526E-08</v>
      </c>
      <c r="M459" s="3">
        <v>1</v>
      </c>
    </row>
    <row r="460" spans="1:13" ht="12.75">
      <c r="A460" s="3">
        <f t="shared" si="43"/>
        <v>9</v>
      </c>
      <c r="B460" s="3" t="s">
        <v>72</v>
      </c>
      <c r="C460" s="4">
        <v>1936</v>
      </c>
      <c r="D460" s="22">
        <v>1.37646</v>
      </c>
      <c r="E460" s="4">
        <v>0.0003</v>
      </c>
      <c r="F460" s="3"/>
      <c r="G460" s="3"/>
      <c r="H460" s="3"/>
      <c r="I460" s="3"/>
      <c r="J460" s="15">
        <f t="shared" si="44"/>
        <v>1.081599999999854E-06</v>
      </c>
      <c r="K460" s="3">
        <f t="shared" si="41"/>
        <v>-0.0012072653846153525</v>
      </c>
      <c r="L460" s="3">
        <f t="shared" si="42"/>
        <v>1.457489708890455E-06</v>
      </c>
      <c r="M460" s="3">
        <v>1</v>
      </c>
    </row>
    <row r="461" spans="1:13" ht="12.75">
      <c r="A461" s="3">
        <f t="shared" si="43"/>
        <v>10</v>
      </c>
      <c r="B461" s="3" t="s">
        <v>73</v>
      </c>
      <c r="C461" s="4">
        <v>1938</v>
      </c>
      <c r="D461" s="22">
        <v>1.3763</v>
      </c>
      <c r="E461" s="4">
        <v>0.0003</v>
      </c>
      <c r="F461" s="3"/>
      <c r="G461" s="3"/>
      <c r="H461" s="3"/>
      <c r="I461" s="3"/>
      <c r="J461" s="15">
        <f t="shared" si="44"/>
        <v>2.5599999999980152E-08</v>
      </c>
      <c r="K461" s="3">
        <f t="shared" si="41"/>
        <v>-0.0013672653846152905</v>
      </c>
      <c r="L461" s="3">
        <f t="shared" si="42"/>
        <v>1.8694146319671982E-06</v>
      </c>
      <c r="M461" s="3">
        <v>1</v>
      </c>
    </row>
    <row r="462" spans="1:13" ht="12.75">
      <c r="A462" s="3">
        <f t="shared" si="43"/>
        <v>11</v>
      </c>
      <c r="B462" s="3" t="s">
        <v>168</v>
      </c>
      <c r="C462" s="4">
        <v>1939</v>
      </c>
      <c r="D462" s="22">
        <v>1.3772</v>
      </c>
      <c r="E462" s="4">
        <v>0.0006</v>
      </c>
      <c r="F462" s="3"/>
      <c r="G462" s="3"/>
      <c r="H462" s="3"/>
      <c r="I462" s="3"/>
      <c r="J462" s="15">
        <f t="shared" si="44"/>
        <v>8.099999999998216E-07</v>
      </c>
      <c r="K462" s="3">
        <f t="shared" si="41"/>
        <v>-0.0004672653846153896</v>
      </c>
      <c r="L462" s="3">
        <f t="shared" si="42"/>
        <v>2.1833693965976796E-07</v>
      </c>
      <c r="M462" s="3">
        <v>1</v>
      </c>
    </row>
    <row r="463" spans="1:13" ht="12.75">
      <c r="A463" s="3">
        <f t="shared" si="43"/>
        <v>12</v>
      </c>
      <c r="B463" s="3" t="s">
        <v>169</v>
      </c>
      <c r="C463" s="4">
        <v>1939</v>
      </c>
      <c r="D463" s="22">
        <v>1.3787</v>
      </c>
      <c r="E463" s="17" t="s">
        <v>210</v>
      </c>
      <c r="F463" s="3"/>
      <c r="G463" s="3"/>
      <c r="H463" s="3"/>
      <c r="I463" s="3"/>
      <c r="J463" s="15">
        <f t="shared" si="44"/>
        <v>2.2500000000001707E-06</v>
      </c>
      <c r="K463" s="3">
        <f t="shared" si="41"/>
        <v>0.0010327346153846673</v>
      </c>
      <c r="L463" s="3">
        <f t="shared" si="42"/>
        <v>1.0665407858137167E-06</v>
      </c>
      <c r="M463" s="3">
        <v>2</v>
      </c>
    </row>
    <row r="464" spans="1:13" ht="12.75">
      <c r="A464" s="3">
        <f t="shared" si="43"/>
        <v>13</v>
      </c>
      <c r="B464" s="3" t="s">
        <v>207</v>
      </c>
      <c r="C464" s="4">
        <v>1940</v>
      </c>
      <c r="D464" s="22">
        <v>1.37929</v>
      </c>
      <c r="E464" s="4">
        <v>0.0002</v>
      </c>
      <c r="F464" s="3"/>
      <c r="G464" s="3"/>
      <c r="H464" s="3"/>
      <c r="I464" s="3"/>
      <c r="J464" s="15">
        <f t="shared" si="44"/>
        <v>3.4809999999984473E-07</v>
      </c>
      <c r="K464" s="3">
        <f t="shared" si="41"/>
        <v>0.0016227346153845357</v>
      </c>
      <c r="L464" s="3">
        <f t="shared" si="42"/>
        <v>2.633267631967197E-06</v>
      </c>
      <c r="M464" s="3">
        <v>2</v>
      </c>
    </row>
    <row r="465" spans="1:13" ht="12.75">
      <c r="A465" s="3">
        <f t="shared" si="43"/>
        <v>14</v>
      </c>
      <c r="B465" s="3" t="s">
        <v>207</v>
      </c>
      <c r="C465" s="4">
        <v>1941</v>
      </c>
      <c r="D465" s="22">
        <v>1.37933</v>
      </c>
      <c r="E465" s="4">
        <v>0.0004</v>
      </c>
      <c r="F465" s="3"/>
      <c r="G465" s="3"/>
      <c r="H465" s="3"/>
      <c r="I465" s="3"/>
      <c r="J465" s="15">
        <f t="shared" si="44"/>
        <v>1.6000000000032002E-09</v>
      </c>
      <c r="K465" s="3">
        <f t="shared" si="41"/>
        <v>0.0016627346153845757</v>
      </c>
      <c r="L465" s="3">
        <f t="shared" si="42"/>
        <v>2.7646864011980927E-06</v>
      </c>
      <c r="M465" s="3">
        <v>2</v>
      </c>
    </row>
    <row r="466" spans="1:13" ht="12.75">
      <c r="A466" s="3">
        <f t="shared" si="43"/>
        <v>15</v>
      </c>
      <c r="B466" s="3" t="s">
        <v>170</v>
      </c>
      <c r="C466" s="4">
        <v>1941</v>
      </c>
      <c r="D466" s="22">
        <v>1.3775</v>
      </c>
      <c r="E466" s="4">
        <v>9E-05</v>
      </c>
      <c r="F466" s="3"/>
      <c r="G466" s="3"/>
      <c r="H466" s="3"/>
      <c r="I466" s="3"/>
      <c r="J466" s="15">
        <f t="shared" si="44"/>
        <v>3.348899999999994E-06</v>
      </c>
      <c r="K466" s="3">
        <f t="shared" si="41"/>
        <v>-0.00016726538461542262</v>
      </c>
      <c r="L466" s="3">
        <f t="shared" si="42"/>
        <v>2.797770889054526E-08</v>
      </c>
      <c r="M466" s="3">
        <v>3</v>
      </c>
    </row>
    <row r="467" spans="1:13" ht="12.75">
      <c r="A467" s="3">
        <f t="shared" si="43"/>
        <v>16</v>
      </c>
      <c r="B467" s="3" t="s">
        <v>75</v>
      </c>
      <c r="C467" s="4">
        <v>1942</v>
      </c>
      <c r="D467" s="22">
        <v>1.3786</v>
      </c>
      <c r="E467" s="4">
        <v>4E-05</v>
      </c>
      <c r="F467" s="3"/>
      <c r="G467" s="3"/>
      <c r="H467" s="3"/>
      <c r="I467" s="3"/>
      <c r="J467" s="15">
        <f t="shared" si="44"/>
        <v>1.210000000000222E-06</v>
      </c>
      <c r="K467" s="3">
        <f t="shared" si="41"/>
        <v>0.0009327346153846783</v>
      </c>
      <c r="L467" s="3">
        <f t="shared" si="42"/>
        <v>8.699938627368037E-07</v>
      </c>
      <c r="M467" s="3">
        <v>4</v>
      </c>
    </row>
    <row r="468" spans="1:13" ht="12.75">
      <c r="A468" s="3">
        <f t="shared" si="43"/>
        <v>17</v>
      </c>
      <c r="B468" s="3" t="s">
        <v>51</v>
      </c>
      <c r="C468" s="4">
        <v>1947</v>
      </c>
      <c r="D468" s="22">
        <v>1.3786</v>
      </c>
      <c r="E468" s="4">
        <v>1.6E-05</v>
      </c>
      <c r="F468" s="3"/>
      <c r="G468" s="3"/>
      <c r="H468" s="3"/>
      <c r="I468" s="3"/>
      <c r="J468" s="15">
        <f t="shared" si="44"/>
        <v>0</v>
      </c>
      <c r="K468" s="3">
        <f t="shared" si="41"/>
        <v>0.0009327346153846783</v>
      </c>
      <c r="L468" s="3">
        <f t="shared" si="42"/>
        <v>8.699938627368037E-07</v>
      </c>
      <c r="M468" s="3">
        <v>4</v>
      </c>
    </row>
    <row r="469" spans="1:13" ht="12.75">
      <c r="A469" s="3">
        <f t="shared" si="43"/>
        <v>18</v>
      </c>
      <c r="B469" s="3" t="s">
        <v>51</v>
      </c>
      <c r="C469" s="4">
        <v>1947</v>
      </c>
      <c r="D469" s="22">
        <v>1.37926</v>
      </c>
      <c r="E469" s="4">
        <v>5E-05</v>
      </c>
      <c r="F469" s="3"/>
      <c r="G469" s="3"/>
      <c r="H469" s="3"/>
      <c r="I469" s="3"/>
      <c r="J469" s="15">
        <f t="shared" si="44"/>
        <v>4.355999999998454E-07</v>
      </c>
      <c r="K469" s="3">
        <f t="shared" si="41"/>
        <v>0.0015927346153845612</v>
      </c>
      <c r="L469" s="3">
        <f t="shared" si="42"/>
        <v>2.536803555044206E-06</v>
      </c>
      <c r="M469" s="3">
        <v>4</v>
      </c>
    </row>
    <row r="470" spans="1:13" ht="12.75">
      <c r="A470" s="3">
        <f t="shared" si="43"/>
        <v>19</v>
      </c>
      <c r="B470" s="3" t="s">
        <v>76</v>
      </c>
      <c r="C470" s="4">
        <v>1951</v>
      </c>
      <c r="D470" s="22">
        <v>1.37928</v>
      </c>
      <c r="E470" s="4" t="s">
        <v>210</v>
      </c>
      <c r="F470" s="3"/>
      <c r="G470" s="3"/>
      <c r="H470" s="3"/>
      <c r="I470" s="3"/>
      <c r="J470" s="15">
        <f t="shared" si="44"/>
        <v>4.00000000005241E-10</v>
      </c>
      <c r="K470" s="3">
        <f t="shared" si="41"/>
        <v>0.0016127346153846922</v>
      </c>
      <c r="L470" s="3">
        <f t="shared" si="42"/>
        <v>2.600912939660011E-06</v>
      </c>
      <c r="M470" s="3">
        <v>4</v>
      </c>
    </row>
    <row r="471" spans="1:13" ht="12.75">
      <c r="A471" s="3">
        <f t="shared" si="43"/>
        <v>20</v>
      </c>
      <c r="B471" s="3" t="s">
        <v>223</v>
      </c>
      <c r="C471" s="4">
        <v>1951</v>
      </c>
      <c r="D471" s="22">
        <v>1.3793</v>
      </c>
      <c r="E471" s="4">
        <v>2E-05</v>
      </c>
      <c r="F471" s="3"/>
      <c r="G471" s="3"/>
      <c r="H471" s="3"/>
      <c r="I471" s="3"/>
      <c r="J471" s="15">
        <f t="shared" si="44"/>
        <v>3.999999999963592E-10</v>
      </c>
      <c r="K471" s="3">
        <f t="shared" si="41"/>
        <v>0.0016327346153846012</v>
      </c>
      <c r="L471" s="3">
        <f t="shared" si="42"/>
        <v>2.6658223242751015E-06</v>
      </c>
      <c r="M471" s="3">
        <v>4</v>
      </c>
    </row>
    <row r="472" spans="1:13" ht="12.75">
      <c r="A472" s="3">
        <f t="shared" si="43"/>
        <v>21</v>
      </c>
      <c r="B472" s="3" t="s">
        <v>51</v>
      </c>
      <c r="C472" s="4">
        <v>1952</v>
      </c>
      <c r="D472" s="22">
        <v>1.37943</v>
      </c>
      <c r="E472" s="4">
        <v>1.3E-05</v>
      </c>
      <c r="F472" s="3"/>
      <c r="G472" s="3"/>
      <c r="H472" s="3"/>
      <c r="I472" s="3"/>
      <c r="J472" s="15">
        <f t="shared" si="44"/>
        <v>1.6899999999990503E-08</v>
      </c>
      <c r="K472" s="3">
        <f t="shared" si="41"/>
        <v>0.0017627346153845647</v>
      </c>
      <c r="L472" s="3">
        <f t="shared" si="42"/>
        <v>3.107233324274969E-06</v>
      </c>
      <c r="M472" s="3">
        <v>4</v>
      </c>
    </row>
    <row r="473" spans="1:13" ht="12.75">
      <c r="A473" s="3">
        <f t="shared" si="43"/>
        <v>22</v>
      </c>
      <c r="B473" s="3" t="s">
        <v>77</v>
      </c>
      <c r="C473" s="4">
        <v>1953</v>
      </c>
      <c r="D473" s="22">
        <v>1.37913</v>
      </c>
      <c r="E473" s="4">
        <v>4.6E-06</v>
      </c>
      <c r="F473" s="3"/>
      <c r="G473" s="3"/>
      <c r="H473" s="3"/>
      <c r="I473" s="3"/>
      <c r="J473" s="15">
        <f t="shared" si="44"/>
        <v>8.999999999998017E-08</v>
      </c>
      <c r="K473" s="3">
        <f t="shared" si="41"/>
        <v>0.0014627346153845977</v>
      </c>
      <c r="L473" s="3">
        <f t="shared" si="42"/>
        <v>2.139592555044327E-06</v>
      </c>
      <c r="M473" s="3">
        <v>4</v>
      </c>
    </row>
    <row r="474" spans="1:13" ht="12.75">
      <c r="A474" s="3">
        <f t="shared" si="43"/>
        <v>23</v>
      </c>
      <c r="B474" s="3" t="s">
        <v>225</v>
      </c>
      <c r="C474" s="4">
        <v>1955</v>
      </c>
      <c r="D474" s="22">
        <v>1.37942</v>
      </c>
      <c r="E474" s="4">
        <v>3.6E-06</v>
      </c>
      <c r="F474" s="3"/>
      <c r="G474" s="3"/>
      <c r="H474" s="3"/>
      <c r="I474" s="3"/>
      <c r="J474" s="15">
        <f t="shared" si="44"/>
        <v>8.410000000007162E-08</v>
      </c>
      <c r="K474" s="3">
        <f t="shared" si="41"/>
        <v>0.0017527346153847212</v>
      </c>
      <c r="L474" s="3">
        <f t="shared" si="42"/>
        <v>3.0720786319678265E-06</v>
      </c>
      <c r="M474" s="3">
        <v>4</v>
      </c>
    </row>
    <row r="475" spans="1:13" ht="12.75">
      <c r="A475" s="3">
        <f t="shared" si="43"/>
        <v>24</v>
      </c>
      <c r="B475" s="3" t="s">
        <v>53</v>
      </c>
      <c r="C475" s="4">
        <v>1965</v>
      </c>
      <c r="D475" s="22">
        <v>1.379474</v>
      </c>
      <c r="E475" s="4"/>
      <c r="F475" s="3"/>
      <c r="G475" s="3"/>
      <c r="H475" s="3"/>
      <c r="I475" s="3"/>
      <c r="J475" s="15">
        <f t="shared" si="44"/>
        <v>2.9159999999998373E-09</v>
      </c>
      <c r="K475" s="3">
        <f t="shared" si="41"/>
        <v>0.0018067346153847197</v>
      </c>
      <c r="L475" s="3">
        <f t="shared" si="42"/>
        <v>3.264289970429371E-06</v>
      </c>
      <c r="M475" s="3">
        <v>4</v>
      </c>
    </row>
    <row r="476" spans="1:13" ht="12.75">
      <c r="A476" s="3">
        <f t="shared" si="43"/>
        <v>25</v>
      </c>
      <c r="B476" s="3" t="s">
        <v>78</v>
      </c>
      <c r="C476" s="4">
        <v>1969</v>
      </c>
      <c r="D476" s="22">
        <v>1.3795234</v>
      </c>
      <c r="E476" s="4"/>
      <c r="F476" s="3"/>
      <c r="G476" s="3"/>
      <c r="H476" s="3"/>
      <c r="I476" s="3"/>
      <c r="J476" s="15">
        <f t="shared" si="44"/>
        <v>2.4403599999977513E-09</v>
      </c>
      <c r="K476" s="3">
        <f t="shared" si="41"/>
        <v>0.001856134615384697</v>
      </c>
      <c r="L476" s="3">
        <f t="shared" si="42"/>
        <v>3.445235710429297E-06</v>
      </c>
      <c r="M476" s="3">
        <v>4</v>
      </c>
    </row>
    <row r="477" spans="1:13" ht="12.75">
      <c r="A477" s="3">
        <f t="shared" si="43"/>
        <v>26</v>
      </c>
      <c r="B477" s="3" t="s">
        <v>228</v>
      </c>
      <c r="C477" s="4">
        <v>1973</v>
      </c>
      <c r="D477" s="22">
        <v>1.3795215</v>
      </c>
      <c r="E477" s="4"/>
      <c r="F477" s="3"/>
      <c r="G477" s="3"/>
      <c r="H477" s="3"/>
      <c r="I477" s="3"/>
      <c r="J477" s="15">
        <f t="shared" si="44"/>
        <v>3.6099999999966737E-12</v>
      </c>
      <c r="K477" s="3">
        <f t="shared" si="41"/>
        <v>0.0018542346153846978</v>
      </c>
      <c r="L477" s="3"/>
      <c r="M477" s="3">
        <v>4</v>
      </c>
    </row>
    <row r="478" spans="1:13" ht="12.75">
      <c r="A478" s="3"/>
      <c r="B478" s="3"/>
      <c r="C478" s="11" t="s">
        <v>229</v>
      </c>
      <c r="D478" s="22">
        <f>AVERAGE(D452:D477)</f>
        <v>1.3776672653846154</v>
      </c>
      <c r="E478" s="3">
        <f>AVERAGE(E452:E477)</f>
        <v>0.0005298444444444445</v>
      </c>
      <c r="F478" s="8"/>
      <c r="G478" s="9" t="e">
        <f>AVERAGE(#REF!)</f>
        <v>#REF!</v>
      </c>
      <c r="H478" s="9"/>
      <c r="I478" s="9" t="s">
        <v>230</v>
      </c>
      <c r="J478" s="3">
        <f>SUM(J453:J477)</f>
        <v>2.6821159970000204E-05</v>
      </c>
      <c r="K478" s="15">
        <f>SUM(K452:K477)</f>
        <v>4.440892098500626E-16</v>
      </c>
      <c r="L478" s="4">
        <f>SUM(L452:L477)</f>
        <v>8.442657936995615E-05</v>
      </c>
      <c r="M478" s="3"/>
    </row>
    <row r="479" spans="1:13" ht="12.75">
      <c r="A479" s="3"/>
      <c r="B479" s="3"/>
      <c r="C479" s="11" t="s">
        <v>231</v>
      </c>
      <c r="D479" s="22">
        <f>STDEV(D452:D477)</f>
        <v>0.0018747241436463235</v>
      </c>
      <c r="E479" s="3">
        <f>STDEV(E452:E477)</f>
        <v>0.000862616630970064</v>
      </c>
      <c r="F479" s="10"/>
      <c r="G479" s="3"/>
      <c r="H479" s="3"/>
      <c r="I479" s="3"/>
      <c r="J479" s="3"/>
      <c r="K479" s="3"/>
      <c r="L479" s="4"/>
      <c r="M479" s="3"/>
    </row>
    <row r="480" spans="1:12" ht="15.75">
      <c r="A480" s="3"/>
      <c r="B480" s="3"/>
      <c r="C480" s="11" t="s">
        <v>232</v>
      </c>
      <c r="D480" s="22">
        <f>VAR(D452:D477)</f>
        <v>3.514590614770441E-06</v>
      </c>
      <c r="E480" s="3">
        <f>VAR(E452:E477)</f>
        <v>7.441074520261437E-07</v>
      </c>
      <c r="F480" s="3"/>
      <c r="G480" s="3"/>
      <c r="H480" s="3"/>
      <c r="I480" s="3"/>
      <c r="J480" s="2" t="s">
        <v>233</v>
      </c>
      <c r="L480" s="2" t="s">
        <v>234</v>
      </c>
    </row>
    <row r="481" spans="1:11" ht="13.5">
      <c r="A481" s="3"/>
      <c r="B481" s="3"/>
      <c r="C481" s="3"/>
      <c r="D481" s="3"/>
      <c r="E481" s="3"/>
      <c r="F481" s="3"/>
      <c r="G481" s="3"/>
      <c r="H481" s="3"/>
      <c r="I481" s="3"/>
      <c r="J481" s="6" t="s">
        <v>237</v>
      </c>
      <c r="K481" s="19">
        <f>J478/L478</f>
        <v>0.3176862093686188</v>
      </c>
    </row>
    <row r="482" spans="1:11" ht="13.5">
      <c r="A482" s="3"/>
      <c r="B482" s="3"/>
      <c r="C482" s="3"/>
      <c r="D482" s="3"/>
      <c r="E482" s="3"/>
      <c r="F482" s="3"/>
      <c r="G482" s="3"/>
      <c r="H482" s="3"/>
      <c r="I482" s="11"/>
      <c r="J482" s="6" t="s">
        <v>239</v>
      </c>
      <c r="K482" s="19">
        <f>(M477-(K489+1))/K490</f>
        <v>-4.003203845127178</v>
      </c>
    </row>
    <row r="483" spans="1:11" ht="13.5">
      <c r="A483" s="3"/>
      <c r="B483" s="3"/>
      <c r="C483" s="3"/>
      <c r="D483" s="3"/>
      <c r="E483" s="3"/>
      <c r="F483" s="3"/>
      <c r="G483" s="3"/>
      <c r="H483" s="3"/>
      <c r="I483" s="3"/>
      <c r="J483" s="6" t="s">
        <v>14</v>
      </c>
      <c r="K483" s="19">
        <f>((K484)*(K486))/K487</f>
        <v>-4.9453532181492745</v>
      </c>
    </row>
    <row r="484" spans="1:11" ht="12.75">
      <c r="A484" s="3"/>
      <c r="B484" s="3"/>
      <c r="C484" s="3"/>
      <c r="D484" s="3"/>
      <c r="E484" s="3"/>
      <c r="F484" s="3"/>
      <c r="G484" s="3"/>
      <c r="H484" s="3"/>
      <c r="I484" s="11"/>
      <c r="J484" t="s">
        <v>16</v>
      </c>
      <c r="K484">
        <f>D478-D477</f>
        <v>-0.0018542346153846978</v>
      </c>
    </row>
    <row r="485" spans="1:11" ht="12.75">
      <c r="A485" s="3"/>
      <c r="B485" s="3"/>
      <c r="C485" s="3"/>
      <c r="D485" s="3"/>
      <c r="E485" s="3"/>
      <c r="F485" s="3"/>
      <c r="G485" s="3"/>
      <c r="H485" s="3"/>
      <c r="I485" s="11"/>
      <c r="J485" t="s">
        <v>20</v>
      </c>
      <c r="K485">
        <f>A477</f>
        <v>26</v>
      </c>
    </row>
    <row r="486" spans="1:11" ht="12.75">
      <c r="A486" s="3"/>
      <c r="B486" s="3"/>
      <c r="C486" s="3"/>
      <c r="D486" s="3"/>
      <c r="E486" s="3"/>
      <c r="F486" s="3"/>
      <c r="G486" s="3"/>
      <c r="H486" s="3"/>
      <c r="I486" s="11"/>
      <c r="J486" t="s">
        <v>23</v>
      </c>
      <c r="K486">
        <f>(K485-1)^0.5</f>
        <v>5</v>
      </c>
    </row>
    <row r="487" spans="1:11" ht="12.75">
      <c r="A487" s="3"/>
      <c r="B487" s="3"/>
      <c r="C487" s="3"/>
      <c r="D487" s="3"/>
      <c r="E487" s="3"/>
      <c r="F487" s="3"/>
      <c r="G487" s="3"/>
      <c r="H487" s="3"/>
      <c r="I487" s="11"/>
      <c r="J487" t="s">
        <v>231</v>
      </c>
      <c r="K487">
        <f>D479</f>
        <v>0.0018747241436463235</v>
      </c>
    </row>
    <row r="488" spans="1:11" ht="12.75">
      <c r="A488" s="3"/>
      <c r="B488" s="3"/>
      <c r="C488" s="3"/>
      <c r="D488" s="3"/>
      <c r="E488" s="3"/>
      <c r="F488" s="3"/>
      <c r="G488" s="3"/>
      <c r="H488" s="3"/>
      <c r="I488" s="11"/>
      <c r="J488" t="s">
        <v>24</v>
      </c>
      <c r="K488">
        <f>A477</f>
        <v>26</v>
      </c>
    </row>
    <row r="489" spans="1:11" ht="12.75">
      <c r="A489" s="3"/>
      <c r="B489" s="3"/>
      <c r="C489" s="3"/>
      <c r="D489" s="3"/>
      <c r="E489" s="3"/>
      <c r="F489" s="3"/>
      <c r="G489" s="3"/>
      <c r="H489" s="3"/>
      <c r="I489" s="3"/>
      <c r="J489" t="s">
        <v>25</v>
      </c>
      <c r="K489">
        <f>K488/2</f>
        <v>13</v>
      </c>
    </row>
    <row r="490" spans="1:11" ht="12.75">
      <c r="A490" s="3"/>
      <c r="B490" s="3"/>
      <c r="C490" s="3"/>
      <c r="D490" s="3"/>
      <c r="E490" s="3"/>
      <c r="F490" s="3"/>
      <c r="G490" s="3"/>
      <c r="H490" s="3"/>
      <c r="I490" s="3"/>
      <c r="J490" t="s">
        <v>26</v>
      </c>
      <c r="K490">
        <f>((K489*(K489-1))/(K488-1))^0.5</f>
        <v>2.4979991993593593</v>
      </c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9" ht="12.75">
      <c r="A493" s="3"/>
      <c r="B493" s="3"/>
      <c r="C493" s="3"/>
      <c r="D493" s="3"/>
      <c r="E493" s="3"/>
      <c r="F493" s="3"/>
      <c r="G493" s="3"/>
      <c r="H493" s="3"/>
      <c r="I493" s="11"/>
    </row>
    <row r="495" spans="2:4" ht="13.5">
      <c r="B495" s="6" t="s">
        <v>97</v>
      </c>
      <c r="D495" t="s">
        <v>171</v>
      </c>
    </row>
    <row r="496" ht="12.75">
      <c r="B496" t="s">
        <v>98</v>
      </c>
    </row>
    <row r="497" ht="12.75">
      <c r="B497" t="s">
        <v>172</v>
      </c>
    </row>
    <row r="498" spans="1:13" ht="13.5">
      <c r="A498" s="6" t="s">
        <v>191</v>
      </c>
      <c r="B498" s="5" t="s">
        <v>81</v>
      </c>
      <c r="C498" s="5" t="s">
        <v>193</v>
      </c>
      <c r="D498" s="5" t="s">
        <v>99</v>
      </c>
      <c r="E498" s="6" t="s">
        <v>195</v>
      </c>
      <c r="F498" s="6"/>
      <c r="G498" s="6"/>
      <c r="H498" s="6"/>
      <c r="I498" s="6"/>
      <c r="J498" s="5" t="s">
        <v>199</v>
      </c>
      <c r="K498" s="5" t="s">
        <v>200</v>
      </c>
      <c r="L498" s="5" t="s">
        <v>201</v>
      </c>
      <c r="M498" s="5" t="s">
        <v>202</v>
      </c>
    </row>
    <row r="499" spans="1:13" ht="12.75">
      <c r="A499" s="3">
        <v>1</v>
      </c>
      <c r="B499" s="3" t="s">
        <v>101</v>
      </c>
      <c r="C499" s="3">
        <v>1913</v>
      </c>
      <c r="D499" s="23">
        <v>109737</v>
      </c>
      <c r="E499" s="18" t="s">
        <v>210</v>
      </c>
      <c r="F499" s="3"/>
      <c r="G499" s="3"/>
      <c r="H499" s="3"/>
      <c r="I499" s="3"/>
      <c r="J499" s="3"/>
      <c r="K499" s="3">
        <f aca="true" t="shared" si="45" ref="K499:K522">D499-$D$523</f>
        <v>-0.3097516666748561</v>
      </c>
      <c r="L499" s="3">
        <f aca="true" t="shared" si="46" ref="L499:L521">(K499)^2</f>
        <v>0.09594609500785116</v>
      </c>
      <c r="M499" s="3">
        <v>1</v>
      </c>
    </row>
    <row r="500" spans="1:13" ht="12.75">
      <c r="A500" s="3">
        <f aca="true" t="shared" si="47" ref="A500:A522">A499+1</f>
        <v>2</v>
      </c>
      <c r="B500" s="3" t="s">
        <v>35</v>
      </c>
      <c r="C500" s="3">
        <v>1916</v>
      </c>
      <c r="D500" s="23">
        <v>109737.35</v>
      </c>
      <c r="E500" s="3">
        <v>0.06</v>
      </c>
      <c r="F500" s="3"/>
      <c r="G500" s="3"/>
      <c r="H500" s="3"/>
      <c r="I500" s="3"/>
      <c r="J500" s="3">
        <f aca="true" t="shared" si="48" ref="J500:J522">(D499-D500)^2</f>
        <v>0.12250000000407453</v>
      </c>
      <c r="K500" s="3">
        <f t="shared" si="45"/>
        <v>0.04024833333096467</v>
      </c>
      <c r="L500" s="3">
        <f t="shared" si="46"/>
        <v>0.0016199283359204415</v>
      </c>
      <c r="M500" s="3">
        <v>2</v>
      </c>
    </row>
    <row r="501" spans="1:13" ht="12.75">
      <c r="A501" s="3">
        <f t="shared" si="47"/>
        <v>3</v>
      </c>
      <c r="B501" s="3" t="s">
        <v>50</v>
      </c>
      <c r="C501" s="3">
        <v>1921</v>
      </c>
      <c r="D501" s="23">
        <v>109737.36</v>
      </c>
      <c r="E501" s="3">
        <v>0.2</v>
      </c>
      <c r="F501" s="3"/>
      <c r="G501" s="3"/>
      <c r="H501" s="3"/>
      <c r="I501" s="3"/>
      <c r="J501" s="3">
        <f t="shared" si="48"/>
        <v>9.999999989522622E-05</v>
      </c>
      <c r="K501" s="3">
        <f t="shared" si="45"/>
        <v>0.05024833332572598</v>
      </c>
      <c r="L501" s="3">
        <f t="shared" si="46"/>
        <v>0.002524895002013264</v>
      </c>
      <c r="M501" s="3">
        <v>2</v>
      </c>
    </row>
    <row r="502" spans="1:13" ht="12.75">
      <c r="A502" s="3">
        <f t="shared" si="47"/>
        <v>4</v>
      </c>
      <c r="B502" s="3" t="s">
        <v>102</v>
      </c>
      <c r="C502" s="3">
        <v>1925</v>
      </c>
      <c r="D502" s="23">
        <v>109737.36</v>
      </c>
      <c r="E502" s="3">
        <v>0.06</v>
      </c>
      <c r="F502" s="3"/>
      <c r="G502" s="3"/>
      <c r="H502" s="3"/>
      <c r="I502" s="3"/>
      <c r="J502" s="3">
        <f t="shared" si="48"/>
        <v>0</v>
      </c>
      <c r="K502" s="3">
        <f t="shared" si="45"/>
        <v>0.05024833332572598</v>
      </c>
      <c r="L502" s="3">
        <f t="shared" si="46"/>
        <v>0.002524895002013264</v>
      </c>
      <c r="M502" s="3">
        <v>2</v>
      </c>
    </row>
    <row r="503" spans="1:13" ht="12.75">
      <c r="A503" s="3">
        <f t="shared" si="47"/>
        <v>5</v>
      </c>
      <c r="B503" s="3" t="s">
        <v>173</v>
      </c>
      <c r="C503" s="3">
        <v>1927</v>
      </c>
      <c r="D503" s="23">
        <v>109737.335</v>
      </c>
      <c r="E503" s="3">
        <v>0.016</v>
      </c>
      <c r="F503" s="3"/>
      <c r="G503" s="3"/>
      <c r="H503" s="3"/>
      <c r="I503" s="3"/>
      <c r="J503" s="3">
        <f t="shared" si="48"/>
        <v>0.0006249999997089617</v>
      </c>
      <c r="K503" s="3">
        <f t="shared" si="45"/>
        <v>0.025248333331546746</v>
      </c>
      <c r="L503" s="3">
        <f t="shared" si="46"/>
        <v>0.0006374783360208944</v>
      </c>
      <c r="M503" s="3">
        <v>2</v>
      </c>
    </row>
    <row r="504" spans="1:13" ht="12.75">
      <c r="A504" s="3">
        <f t="shared" si="47"/>
        <v>6</v>
      </c>
      <c r="B504" s="3" t="s">
        <v>173</v>
      </c>
      <c r="C504" s="3">
        <v>1927</v>
      </c>
      <c r="D504" s="23">
        <v>109737.313</v>
      </c>
      <c r="E504" s="3">
        <v>0.06</v>
      </c>
      <c r="F504" s="3"/>
      <c r="G504" s="3"/>
      <c r="H504" s="3"/>
      <c r="I504" s="3"/>
      <c r="J504" s="3">
        <f t="shared" si="48"/>
        <v>0.0004840000005173497</v>
      </c>
      <c r="K504" s="3">
        <f t="shared" si="45"/>
        <v>0.0032483333197887987</v>
      </c>
      <c r="L504" s="3">
        <f t="shared" si="46"/>
        <v>1.0551669356450117E-05</v>
      </c>
      <c r="M504" s="3">
        <v>2</v>
      </c>
    </row>
    <row r="505" spans="1:13" ht="12.75">
      <c r="A505" s="3">
        <f t="shared" si="47"/>
        <v>7</v>
      </c>
      <c r="B505" s="3" t="s">
        <v>50</v>
      </c>
      <c r="C505" s="3">
        <v>1929</v>
      </c>
      <c r="D505" s="23">
        <v>109737.42</v>
      </c>
      <c r="E505" s="3">
        <v>0.06</v>
      </c>
      <c r="F505" s="3"/>
      <c r="G505" s="3"/>
      <c r="H505" s="3"/>
      <c r="I505" s="3"/>
      <c r="J505" s="3">
        <f t="shared" si="48"/>
        <v>0.0114490000007723</v>
      </c>
      <c r="K505" s="3">
        <f t="shared" si="45"/>
        <v>0.11024833332339767</v>
      </c>
      <c r="L505" s="3">
        <f t="shared" si="46"/>
        <v>0.012154695000586998</v>
      </c>
      <c r="M505" s="3">
        <v>2</v>
      </c>
    </row>
    <row r="506" spans="1:13" ht="12.75">
      <c r="A506" s="3">
        <f t="shared" si="47"/>
        <v>8</v>
      </c>
      <c r="B506" s="3" t="s">
        <v>104</v>
      </c>
      <c r="C506" s="3">
        <v>1939</v>
      </c>
      <c r="D506" s="23">
        <v>109737.314</v>
      </c>
      <c r="E506" s="3">
        <v>0.02</v>
      </c>
      <c r="F506" s="3"/>
      <c r="G506" s="3"/>
      <c r="H506" s="3"/>
      <c r="I506" s="3"/>
      <c r="J506" s="3">
        <f t="shared" si="48"/>
        <v>0.01123599999995064</v>
      </c>
      <c r="K506" s="3">
        <f t="shared" si="45"/>
        <v>0.004248333323630504</v>
      </c>
      <c r="L506" s="3">
        <f t="shared" si="46"/>
        <v>1.804833602866941E-05</v>
      </c>
      <c r="M506" s="3">
        <v>2</v>
      </c>
    </row>
    <row r="507" spans="1:13" ht="12.75">
      <c r="A507" s="3">
        <f t="shared" si="47"/>
        <v>9</v>
      </c>
      <c r="B507" s="3" t="s">
        <v>105</v>
      </c>
      <c r="C507" s="3">
        <v>1940</v>
      </c>
      <c r="D507" s="23">
        <v>109737.311</v>
      </c>
      <c r="E507" s="3">
        <v>0.009</v>
      </c>
      <c r="F507" s="3"/>
      <c r="G507" s="3"/>
      <c r="H507" s="3"/>
      <c r="I507" s="3"/>
      <c r="J507" s="3">
        <f t="shared" si="48"/>
        <v>8.999999981839209E-06</v>
      </c>
      <c r="K507" s="3">
        <f t="shared" si="45"/>
        <v>0.0012483333266573027</v>
      </c>
      <c r="L507" s="3">
        <f t="shared" si="46"/>
        <v>1.558336094443288E-06</v>
      </c>
      <c r="M507" s="3">
        <v>2</v>
      </c>
    </row>
    <row r="508" spans="1:13" ht="12.75">
      <c r="A508" s="3">
        <f t="shared" si="47"/>
        <v>10</v>
      </c>
      <c r="B508" s="3" t="s">
        <v>50</v>
      </c>
      <c r="C508" s="3">
        <v>1941</v>
      </c>
      <c r="D508" s="23">
        <v>109737.303</v>
      </c>
      <c r="E508" s="3">
        <v>0.017</v>
      </c>
      <c r="F508" s="3"/>
      <c r="G508" s="3"/>
      <c r="H508" s="3"/>
      <c r="I508" s="3"/>
      <c r="J508" s="3">
        <f t="shared" si="48"/>
        <v>6.400000002607704E-05</v>
      </c>
      <c r="K508" s="3">
        <f t="shared" si="45"/>
        <v>-0.006751666674972512</v>
      </c>
      <c r="L508" s="3">
        <f t="shared" si="46"/>
        <v>4.558500288993438E-05</v>
      </c>
      <c r="M508" s="3">
        <v>3</v>
      </c>
    </row>
    <row r="509" spans="1:13" ht="12.75">
      <c r="A509" s="3">
        <f t="shared" si="47"/>
        <v>11</v>
      </c>
      <c r="B509" s="3" t="s">
        <v>106</v>
      </c>
      <c r="C509" s="3">
        <v>1947</v>
      </c>
      <c r="D509" s="23">
        <v>109737.3</v>
      </c>
      <c r="E509" s="3">
        <v>0.05</v>
      </c>
      <c r="F509" s="3"/>
      <c r="G509" s="3"/>
      <c r="H509" s="3"/>
      <c r="I509" s="3"/>
      <c r="J509" s="3">
        <f t="shared" si="48"/>
        <v>8.999999981839209E-06</v>
      </c>
      <c r="K509" s="3">
        <f t="shared" si="45"/>
        <v>-0.009751666671945713</v>
      </c>
      <c r="L509" s="3">
        <f t="shared" si="46"/>
        <v>9.509500288073678E-05</v>
      </c>
      <c r="M509" s="3">
        <v>3</v>
      </c>
    </row>
    <row r="510" spans="1:13" ht="12.75">
      <c r="A510" s="3">
        <f t="shared" si="47"/>
        <v>12</v>
      </c>
      <c r="B510" s="3" t="s">
        <v>223</v>
      </c>
      <c r="C510" s="3">
        <v>1951</v>
      </c>
      <c r="D510" s="23">
        <v>109737.323</v>
      </c>
      <c r="E510" s="3">
        <v>0.024</v>
      </c>
      <c r="F510" s="3"/>
      <c r="G510" s="3"/>
      <c r="H510" s="3"/>
      <c r="I510" s="3"/>
      <c r="J510" s="3">
        <f t="shared" si="48"/>
        <v>0.000529000000048196</v>
      </c>
      <c r="K510" s="3">
        <f t="shared" si="45"/>
        <v>0.013248333329102024</v>
      </c>
      <c r="L510" s="3">
        <f t="shared" si="46"/>
        <v>0.00017551833599899552</v>
      </c>
      <c r="M510" s="3">
        <v>4</v>
      </c>
    </row>
    <row r="511" spans="1:13" ht="12.75">
      <c r="A511" s="3">
        <f t="shared" si="47"/>
        <v>13</v>
      </c>
      <c r="B511" s="3" t="s">
        <v>174</v>
      </c>
      <c r="C511" s="3">
        <v>1952</v>
      </c>
      <c r="D511" s="23">
        <v>109737.311</v>
      </c>
      <c r="E511" s="3">
        <v>0.012</v>
      </c>
      <c r="F511" s="3"/>
      <c r="G511" s="3"/>
      <c r="H511" s="3"/>
      <c r="I511" s="3"/>
      <c r="J511" s="3">
        <f t="shared" si="48"/>
        <v>0.0001440000000586733</v>
      </c>
      <c r="K511" s="3">
        <f t="shared" si="45"/>
        <v>0.0012483333266573027</v>
      </c>
      <c r="L511" s="3">
        <f t="shared" si="46"/>
        <v>1.558336094443288E-06</v>
      </c>
      <c r="M511" s="3">
        <v>4</v>
      </c>
    </row>
    <row r="512" spans="1:13" ht="12.75">
      <c r="A512" s="3">
        <f t="shared" si="47"/>
        <v>14</v>
      </c>
      <c r="B512" s="3" t="s">
        <v>106</v>
      </c>
      <c r="C512" s="3">
        <v>1952</v>
      </c>
      <c r="D512" s="23">
        <v>109737.309</v>
      </c>
      <c r="E512" s="3">
        <v>0.012</v>
      </c>
      <c r="F512" s="3"/>
      <c r="G512" s="3"/>
      <c r="H512" s="3"/>
      <c r="I512" s="3"/>
      <c r="J512" s="3">
        <f t="shared" si="48"/>
        <v>4.000000030733645E-06</v>
      </c>
      <c r="K512" s="3">
        <f t="shared" si="45"/>
        <v>-0.0007516666810261086</v>
      </c>
      <c r="L512" s="3">
        <f t="shared" si="46"/>
        <v>5.650027993648056E-07</v>
      </c>
      <c r="M512" s="3">
        <v>5</v>
      </c>
    </row>
    <row r="513" spans="1:13" ht="12.75">
      <c r="A513" s="3">
        <f t="shared" si="47"/>
        <v>15</v>
      </c>
      <c r="B513" s="3" t="s">
        <v>225</v>
      </c>
      <c r="C513" s="3">
        <v>1955</v>
      </c>
      <c r="D513" s="23">
        <v>109737.309</v>
      </c>
      <c r="E513" s="3">
        <v>0.012</v>
      </c>
      <c r="F513" s="3"/>
      <c r="G513" s="3"/>
      <c r="H513" s="3"/>
      <c r="I513" s="3"/>
      <c r="J513" s="3">
        <f t="shared" si="48"/>
        <v>0</v>
      </c>
      <c r="K513" s="3">
        <f t="shared" si="45"/>
        <v>-0.0007516666810261086</v>
      </c>
      <c r="L513" s="3">
        <f t="shared" si="46"/>
        <v>5.650027993648056E-07</v>
      </c>
      <c r="M513" s="3">
        <v>5</v>
      </c>
    </row>
    <row r="514" spans="1:13" ht="12.75">
      <c r="A514" s="3">
        <f t="shared" si="47"/>
        <v>16</v>
      </c>
      <c r="B514" s="3" t="s">
        <v>108</v>
      </c>
      <c r="C514" s="3">
        <v>1963</v>
      </c>
      <c r="D514" s="23">
        <v>109737.31</v>
      </c>
      <c r="E514" s="3">
        <v>0.03</v>
      </c>
      <c r="F514" s="3"/>
      <c r="G514" s="3"/>
      <c r="H514" s="3"/>
      <c r="I514" s="3"/>
      <c r="J514" s="3">
        <f t="shared" si="48"/>
        <v>1.0000000076834113E-06</v>
      </c>
      <c r="K514" s="3">
        <f t="shared" si="45"/>
        <v>0.00024833332281559706</v>
      </c>
      <c r="L514" s="3">
        <f t="shared" si="46"/>
        <v>6.166943922063554E-08</v>
      </c>
      <c r="M514" s="3">
        <v>6</v>
      </c>
    </row>
    <row r="515" spans="1:13" ht="12.75">
      <c r="A515" s="3">
        <f t="shared" si="47"/>
        <v>17</v>
      </c>
      <c r="B515" s="3" t="s">
        <v>108</v>
      </c>
      <c r="C515" s="3">
        <v>1965</v>
      </c>
      <c r="D515" s="23">
        <v>109737.31</v>
      </c>
      <c r="E515" s="3">
        <v>0.01</v>
      </c>
      <c r="F515" s="3"/>
      <c r="G515" s="3"/>
      <c r="H515" s="3"/>
      <c r="I515" s="3"/>
      <c r="J515" s="3">
        <f t="shared" si="48"/>
        <v>0</v>
      </c>
      <c r="K515" s="3">
        <f t="shared" si="45"/>
        <v>0.00024833332281559706</v>
      </c>
      <c r="L515" s="3">
        <f t="shared" si="46"/>
        <v>6.166943922063554E-08</v>
      </c>
      <c r="M515" s="3">
        <v>6</v>
      </c>
    </row>
    <row r="516" spans="1:13" ht="12.75">
      <c r="A516" s="3">
        <f t="shared" si="47"/>
        <v>18</v>
      </c>
      <c r="B516" s="3" t="s">
        <v>109</v>
      </c>
      <c r="C516" s="3">
        <v>1966</v>
      </c>
      <c r="D516" s="23">
        <v>109737.307</v>
      </c>
      <c r="E516" s="3">
        <v>0.007</v>
      </c>
      <c r="F516" s="3"/>
      <c r="G516" s="3"/>
      <c r="H516" s="3"/>
      <c r="I516" s="3"/>
      <c r="J516" s="3">
        <f t="shared" si="48"/>
        <v>8.999999981839209E-06</v>
      </c>
      <c r="K516" s="3">
        <f t="shared" si="45"/>
        <v>-0.0027516666741576046</v>
      </c>
      <c r="L516" s="3">
        <f t="shared" si="46"/>
        <v>7.571669485669573E-06</v>
      </c>
      <c r="M516" s="3">
        <v>7</v>
      </c>
    </row>
    <row r="517" spans="1:13" ht="12.75">
      <c r="A517" s="3">
        <f t="shared" si="47"/>
        <v>19</v>
      </c>
      <c r="B517" s="3" t="s">
        <v>78</v>
      </c>
      <c r="C517" s="3">
        <v>1969</v>
      </c>
      <c r="D517" s="23">
        <v>109737.312</v>
      </c>
      <c r="E517" s="3">
        <v>0.011</v>
      </c>
      <c r="F517" s="3"/>
      <c r="G517" s="3"/>
      <c r="H517" s="3"/>
      <c r="I517" s="3"/>
      <c r="J517" s="3">
        <f t="shared" si="48"/>
        <v>2.500000004656613E-05</v>
      </c>
      <c r="K517" s="3">
        <f t="shared" si="45"/>
        <v>0.0022483333304990083</v>
      </c>
      <c r="L517" s="3">
        <f t="shared" si="46"/>
        <v>5.055002765032763E-06</v>
      </c>
      <c r="M517" s="3">
        <v>7</v>
      </c>
    </row>
    <row r="518" spans="1:13" ht="12.75">
      <c r="A518" s="3">
        <f t="shared" si="47"/>
        <v>20</v>
      </c>
      <c r="B518" s="3" t="s">
        <v>110</v>
      </c>
      <c r="C518" s="3">
        <v>1973</v>
      </c>
      <c r="D518" s="23">
        <v>109737.3177</v>
      </c>
      <c r="E518" s="3">
        <v>0.0083</v>
      </c>
      <c r="F518" s="3"/>
      <c r="G518" s="3"/>
      <c r="H518" s="3"/>
      <c r="I518" s="3"/>
      <c r="J518" s="3">
        <f t="shared" si="48"/>
        <v>3.248999993443955E-05</v>
      </c>
      <c r="K518" s="3">
        <f t="shared" si="45"/>
        <v>0.007948333324748091</v>
      </c>
      <c r="L518" s="3">
        <f t="shared" si="46"/>
        <v>6.317600264130104E-05</v>
      </c>
      <c r="M518" s="3">
        <v>7</v>
      </c>
    </row>
    <row r="519" spans="1:13" ht="12.75">
      <c r="A519" s="3">
        <f t="shared" si="47"/>
        <v>21</v>
      </c>
      <c r="B519" s="3" t="s">
        <v>111</v>
      </c>
      <c r="C519" s="3">
        <v>1974</v>
      </c>
      <c r="D519" s="23">
        <v>109737.3141</v>
      </c>
      <c r="E519" s="3">
        <v>0.001</v>
      </c>
      <c r="F519" s="3"/>
      <c r="G519" s="3"/>
      <c r="H519" s="3"/>
      <c r="I519" s="3"/>
      <c r="J519" s="3">
        <f t="shared" si="48"/>
        <v>1.2959999973848462E-05</v>
      </c>
      <c r="K519" s="3">
        <f t="shared" si="45"/>
        <v>0.0043483333283802494</v>
      </c>
      <c r="L519" s="3">
        <f t="shared" si="46"/>
        <v>1.8908002734702458E-05</v>
      </c>
      <c r="M519" s="3">
        <v>7</v>
      </c>
    </row>
    <row r="520" spans="1:13" ht="12.75">
      <c r="A520" s="3">
        <f t="shared" si="47"/>
        <v>22</v>
      </c>
      <c r="B520" s="3" t="s">
        <v>112</v>
      </c>
      <c r="C520" s="3">
        <v>1978</v>
      </c>
      <c r="D520" s="23">
        <v>109737.3149</v>
      </c>
      <c r="E520" s="3">
        <v>0.00032</v>
      </c>
      <c r="F520" s="3"/>
      <c r="G520" s="3"/>
      <c r="H520" s="3"/>
      <c r="I520" s="3"/>
      <c r="J520" s="3">
        <f t="shared" si="48"/>
        <v>6.399999909475446E-07</v>
      </c>
      <c r="K520" s="3">
        <f t="shared" si="45"/>
        <v>0.005148333322722465</v>
      </c>
      <c r="L520" s="3">
        <f t="shared" si="46"/>
        <v>2.6505336001854535E-05</v>
      </c>
      <c r="M520" s="3">
        <v>7</v>
      </c>
    </row>
    <row r="521" spans="1:13" ht="12.75">
      <c r="A521" s="3">
        <f t="shared" si="47"/>
        <v>23</v>
      </c>
      <c r="B521" s="3" t="s">
        <v>113</v>
      </c>
      <c r="C521" s="3">
        <v>1979</v>
      </c>
      <c r="D521" s="23">
        <v>109737.31513</v>
      </c>
      <c r="E521" s="3">
        <v>0.00085</v>
      </c>
      <c r="F521" s="3"/>
      <c r="G521" s="3"/>
      <c r="H521" s="3"/>
      <c r="I521" s="3"/>
      <c r="J521" s="3">
        <f t="shared" si="48"/>
        <v>5.290000234767797E-08</v>
      </c>
      <c r="K521" s="3">
        <f t="shared" si="45"/>
        <v>0.0053783333278261125</v>
      </c>
      <c r="L521" s="3">
        <f t="shared" si="46"/>
        <v>2.8926469385205106E-05</v>
      </c>
      <c r="M521" s="3">
        <v>7</v>
      </c>
    </row>
    <row r="522" spans="1:13" ht="12.75">
      <c r="A522" s="3">
        <f t="shared" si="47"/>
        <v>24</v>
      </c>
      <c r="B522" s="3" t="s">
        <v>114</v>
      </c>
      <c r="C522" s="3">
        <v>1981</v>
      </c>
      <c r="D522" s="23">
        <v>109737.31521</v>
      </c>
      <c r="E522" s="3">
        <v>0.00011</v>
      </c>
      <c r="F522" s="3"/>
      <c r="G522" s="3"/>
      <c r="H522" s="3"/>
      <c r="I522" s="3"/>
      <c r="J522" s="3">
        <f t="shared" si="48"/>
        <v>6.399999676644806E-09</v>
      </c>
      <c r="K522" s="3">
        <f t="shared" si="45"/>
        <v>0.0054583333258051425</v>
      </c>
      <c r="L522" s="3"/>
      <c r="M522" s="3">
        <v>7</v>
      </c>
    </row>
    <row r="523" spans="1:13" ht="12.75">
      <c r="A523" s="3"/>
      <c r="B523" s="3"/>
      <c r="C523" s="11" t="s">
        <v>229</v>
      </c>
      <c r="D523" s="24">
        <f>AVERAGE(D499:D522)</f>
        <v>109737.30975166667</v>
      </c>
      <c r="E523" s="3">
        <f>AVERAGE(E499:E522)</f>
        <v>0.029590434782608702</v>
      </c>
      <c r="F523" s="8"/>
      <c r="G523" s="9"/>
      <c r="H523" s="9"/>
      <c r="I523" s="9" t="s">
        <v>230</v>
      </c>
      <c r="J523" s="3">
        <f>SUM(J499:J522)</f>
        <v>0.14723414930498369</v>
      </c>
      <c r="K523" s="15">
        <f>SUM(K499:K522)</f>
        <v>-1.8917489796876907E-10</v>
      </c>
      <c r="L523" s="4">
        <f>SUM(L499:L522)</f>
        <v>0.11590729753124064</v>
      </c>
      <c r="M523" s="3"/>
    </row>
    <row r="524" spans="1:13" ht="12.75">
      <c r="A524" s="3"/>
      <c r="B524" s="3"/>
      <c r="C524" s="11" t="s">
        <v>231</v>
      </c>
      <c r="D524" s="24">
        <f>STDEV(D499:D522)</f>
        <v>0.07098859728360238</v>
      </c>
      <c r="E524" s="3">
        <f>STDEV(E499:E522)</f>
        <v>0.042659363725197956</v>
      </c>
      <c r="F524" s="10"/>
      <c r="G524" s="3"/>
      <c r="H524" s="3"/>
      <c r="I524" s="3"/>
      <c r="J524" s="3"/>
      <c r="K524" s="3"/>
      <c r="L524" s="4"/>
      <c r="M524" s="3"/>
    </row>
    <row r="525" spans="1:12" ht="15.75">
      <c r="A525" s="3"/>
      <c r="B525" s="3"/>
      <c r="C525" s="11" t="s">
        <v>232</v>
      </c>
      <c r="D525" s="24">
        <f>VAR(D499:D522)</f>
        <v>0.005039380944293478</v>
      </c>
      <c r="E525" s="3">
        <f>VAR(E499:E522)</f>
        <v>0.0018198213134387351</v>
      </c>
      <c r="F525" s="3"/>
      <c r="G525" s="3"/>
      <c r="H525" s="3"/>
      <c r="I525" s="3"/>
      <c r="J525" s="2" t="s">
        <v>233</v>
      </c>
      <c r="L525" s="2" t="s">
        <v>234</v>
      </c>
    </row>
    <row r="526" spans="1:11" ht="13.5">
      <c r="A526" s="3"/>
      <c r="B526" s="3"/>
      <c r="C526" s="3"/>
      <c r="D526" s="3"/>
      <c r="E526" s="3"/>
      <c r="F526" s="3"/>
      <c r="G526" s="3"/>
      <c r="H526" s="3"/>
      <c r="I526" s="3"/>
      <c r="J526" s="6" t="s">
        <v>237</v>
      </c>
      <c r="K526" s="19">
        <f>J523/L523</f>
        <v>1.2702750598192445</v>
      </c>
    </row>
    <row r="527" spans="1:11" ht="13.5">
      <c r="A527" s="3"/>
      <c r="B527" s="3"/>
      <c r="C527" s="3"/>
      <c r="D527" s="3"/>
      <c r="E527" s="3"/>
      <c r="F527" s="3"/>
      <c r="G527" s="3"/>
      <c r="H527" s="3"/>
      <c r="I527" s="11"/>
      <c r="J527" s="6" t="s">
        <v>239</v>
      </c>
      <c r="K527" s="19">
        <f>(M522-(K534+1))/K535</f>
        <v>-2.504541329810166</v>
      </c>
    </row>
    <row r="528" spans="1:11" ht="13.5">
      <c r="A528" s="3"/>
      <c r="B528" s="3"/>
      <c r="C528" s="3"/>
      <c r="D528" s="3"/>
      <c r="E528" s="3"/>
      <c r="F528" s="3"/>
      <c r="G528" s="3"/>
      <c r="H528" s="3"/>
      <c r="I528" s="3"/>
      <c r="J528" s="6" t="s">
        <v>14</v>
      </c>
      <c r="K528" s="19">
        <f>((K529)*(K531))/K532</f>
        <v>-0.368752842432785</v>
      </c>
    </row>
    <row r="529" spans="1:11" ht="12.75">
      <c r="A529" s="3"/>
      <c r="B529" s="3"/>
      <c r="C529" s="3"/>
      <c r="D529" s="3"/>
      <c r="E529" s="3"/>
      <c r="F529" s="3"/>
      <c r="G529" s="3"/>
      <c r="H529" s="3"/>
      <c r="I529" s="11"/>
      <c r="J529" t="s">
        <v>16</v>
      </c>
      <c r="K529">
        <f>D523-D522</f>
        <v>-0.0054583333258051425</v>
      </c>
    </row>
    <row r="530" spans="1:11" ht="12.75">
      <c r="A530" s="3"/>
      <c r="B530" s="3"/>
      <c r="C530" s="3"/>
      <c r="D530" s="3"/>
      <c r="E530" s="3"/>
      <c r="F530" s="3"/>
      <c r="G530" s="3"/>
      <c r="H530" s="3"/>
      <c r="I530" s="11"/>
      <c r="J530" t="s">
        <v>20</v>
      </c>
      <c r="K530">
        <f>A522</f>
        <v>24</v>
      </c>
    </row>
    <row r="531" spans="1:11" ht="12.75">
      <c r="A531" s="3"/>
      <c r="B531" s="3"/>
      <c r="C531" s="3"/>
      <c r="D531" s="3"/>
      <c r="E531" s="3"/>
      <c r="F531" s="3"/>
      <c r="G531" s="3"/>
      <c r="H531" s="3"/>
      <c r="I531" s="11"/>
      <c r="J531" t="s">
        <v>23</v>
      </c>
      <c r="K531">
        <f>(K530-1)^0.5</f>
        <v>4.795831523312719</v>
      </c>
    </row>
    <row r="532" spans="1:11" ht="12.75">
      <c r="A532" s="3"/>
      <c r="B532" s="3"/>
      <c r="C532" s="3"/>
      <c r="D532" s="3"/>
      <c r="E532" s="3"/>
      <c r="F532" s="3"/>
      <c r="G532" s="3"/>
      <c r="H532" s="3"/>
      <c r="I532" s="11"/>
      <c r="J532" t="s">
        <v>231</v>
      </c>
      <c r="K532">
        <f>D524</f>
        <v>0.07098859728360238</v>
      </c>
    </row>
    <row r="533" spans="2:11" ht="13.5">
      <c r="B533" s="6" t="s">
        <v>97</v>
      </c>
      <c r="J533" t="s">
        <v>24</v>
      </c>
      <c r="K533">
        <f>A522</f>
        <v>24</v>
      </c>
    </row>
    <row r="534" spans="2:11" ht="12.75">
      <c r="B534" t="s">
        <v>98</v>
      </c>
      <c r="D534" t="s">
        <v>175</v>
      </c>
      <c r="J534" t="s">
        <v>25</v>
      </c>
      <c r="K534">
        <f>K533/2</f>
        <v>12</v>
      </c>
    </row>
    <row r="535" spans="10:11" ht="12.75">
      <c r="J535" t="s">
        <v>26</v>
      </c>
      <c r="K535">
        <f>((K534*(K534-1))/(K533-1))^0.5</f>
        <v>2.395648228514071</v>
      </c>
    </row>
    <row r="537" spans="1:13" ht="13.5">
      <c r="A537" s="6" t="s">
        <v>191</v>
      </c>
      <c r="B537" s="5" t="s">
        <v>81</v>
      </c>
      <c r="C537" s="5" t="s">
        <v>193</v>
      </c>
      <c r="D537" s="5" t="s">
        <v>99</v>
      </c>
      <c r="E537" s="6" t="s">
        <v>195</v>
      </c>
      <c r="F537" s="6"/>
      <c r="G537" s="6"/>
      <c r="H537" s="6"/>
      <c r="I537" s="6"/>
      <c r="J537" s="5" t="s">
        <v>199</v>
      </c>
      <c r="K537" s="5" t="s">
        <v>200</v>
      </c>
      <c r="L537" s="5" t="s">
        <v>201</v>
      </c>
      <c r="M537" s="5" t="s">
        <v>202</v>
      </c>
    </row>
    <row r="538" spans="1:13" ht="12.75">
      <c r="A538" s="3">
        <v>1</v>
      </c>
      <c r="B538" s="3" t="s">
        <v>35</v>
      </c>
      <c r="C538" s="3">
        <v>1916</v>
      </c>
      <c r="D538" s="23">
        <v>109737.35</v>
      </c>
      <c r="E538" s="3">
        <v>0.06</v>
      </c>
      <c r="F538" s="3"/>
      <c r="G538" s="3"/>
      <c r="H538" s="3"/>
      <c r="I538" s="3"/>
      <c r="J538" s="3"/>
      <c r="K538" s="3">
        <f aca="true" t="shared" si="49" ref="K538:K560">D538-$D$561</f>
        <v>0.02678086956439074</v>
      </c>
      <c r="L538" s="3">
        <f aca="true" t="shared" si="50" ref="L538:L559">(K538)^2</f>
        <v>0.0007172149746249104</v>
      </c>
      <c r="M538" s="3">
        <v>2</v>
      </c>
    </row>
    <row r="539" spans="1:13" ht="12.75">
      <c r="A539" s="3">
        <f aca="true" t="shared" si="51" ref="A539:A560">A538+1</f>
        <v>2</v>
      </c>
      <c r="B539" s="3" t="s">
        <v>50</v>
      </c>
      <c r="C539" s="3">
        <v>1921</v>
      </c>
      <c r="D539" s="23">
        <v>109737.36</v>
      </c>
      <c r="E539" s="3">
        <v>0.2</v>
      </c>
      <c r="F539" s="3"/>
      <c r="G539" s="3"/>
      <c r="H539" s="3"/>
      <c r="I539" s="3"/>
      <c r="J539" s="3">
        <f aca="true" t="shared" si="52" ref="J539:J560">(D538-D539)^2</f>
        <v>9.999999989522622E-05</v>
      </c>
      <c r="K539" s="3">
        <f t="shared" si="49"/>
        <v>0.03678086955915205</v>
      </c>
      <c r="L539" s="3">
        <f t="shared" si="50"/>
        <v>0.0013528323655273582</v>
      </c>
      <c r="M539" s="3">
        <v>2</v>
      </c>
    </row>
    <row r="540" spans="1:13" ht="12.75">
      <c r="A540" s="3">
        <f t="shared" si="51"/>
        <v>3</v>
      </c>
      <c r="B540" s="3" t="s">
        <v>102</v>
      </c>
      <c r="C540" s="3">
        <v>1925</v>
      </c>
      <c r="D540" s="23">
        <v>109737.36</v>
      </c>
      <c r="E540" s="3">
        <v>0.06</v>
      </c>
      <c r="F540" s="3"/>
      <c r="G540" s="3"/>
      <c r="H540" s="3"/>
      <c r="I540" s="3"/>
      <c r="J540" s="3">
        <f t="shared" si="52"/>
        <v>0</v>
      </c>
      <c r="K540" s="3">
        <f t="shared" si="49"/>
        <v>0.03678086955915205</v>
      </c>
      <c r="L540" s="3">
        <f t="shared" si="50"/>
        <v>0.0013528323655273582</v>
      </c>
      <c r="M540" s="3">
        <v>2</v>
      </c>
    </row>
    <row r="541" spans="1:13" ht="12.75">
      <c r="A541" s="3">
        <f t="shared" si="51"/>
        <v>4</v>
      </c>
      <c r="B541" s="3" t="s">
        <v>173</v>
      </c>
      <c r="C541" s="3">
        <v>1927</v>
      </c>
      <c r="D541" s="23">
        <v>109737.335</v>
      </c>
      <c r="E541" s="3">
        <v>0.016</v>
      </c>
      <c r="F541" s="3"/>
      <c r="G541" s="3"/>
      <c r="H541" s="3"/>
      <c r="I541" s="3"/>
      <c r="J541" s="3">
        <f t="shared" si="52"/>
        <v>0.0006249999997089617</v>
      </c>
      <c r="K541" s="3">
        <f t="shared" si="49"/>
        <v>0.011780869564972818</v>
      </c>
      <c r="L541" s="3">
        <f t="shared" si="50"/>
        <v>0.00013878888770690282</v>
      </c>
      <c r="M541" s="3">
        <v>2</v>
      </c>
    </row>
    <row r="542" spans="1:13" ht="12.75">
      <c r="A542" s="3">
        <f t="shared" si="51"/>
        <v>5</v>
      </c>
      <c r="B542" s="3" t="s">
        <v>173</v>
      </c>
      <c r="C542" s="3">
        <v>1927</v>
      </c>
      <c r="D542" s="23">
        <v>109737.313</v>
      </c>
      <c r="E542" s="3">
        <v>0.06</v>
      </c>
      <c r="F542" s="3"/>
      <c r="G542" s="3"/>
      <c r="H542" s="3"/>
      <c r="I542" s="3"/>
      <c r="J542" s="3">
        <f t="shared" si="52"/>
        <v>0.0004840000005173497</v>
      </c>
      <c r="K542" s="3">
        <f t="shared" si="49"/>
        <v>-0.01021913044678513</v>
      </c>
      <c r="L542" s="3">
        <f t="shared" si="50"/>
        <v>0.00010443062708841085</v>
      </c>
      <c r="M542" s="3">
        <v>2</v>
      </c>
    </row>
    <row r="543" spans="1:13" ht="12.75">
      <c r="A543" s="3">
        <f t="shared" si="51"/>
        <v>6</v>
      </c>
      <c r="B543" s="3" t="s">
        <v>50</v>
      </c>
      <c r="C543" s="3">
        <v>1929</v>
      </c>
      <c r="D543" s="23">
        <v>109737.42</v>
      </c>
      <c r="E543" s="3">
        <v>0.06</v>
      </c>
      <c r="F543" s="3"/>
      <c r="G543" s="3"/>
      <c r="H543" s="3"/>
      <c r="I543" s="3"/>
      <c r="J543" s="3">
        <f t="shared" si="52"/>
        <v>0.0114490000007723</v>
      </c>
      <c r="K543" s="3">
        <f t="shared" si="49"/>
        <v>0.09678086955682375</v>
      </c>
      <c r="L543" s="3">
        <f t="shared" si="50"/>
        <v>0.009366536712174934</v>
      </c>
      <c r="M543" s="3">
        <v>2</v>
      </c>
    </row>
    <row r="544" spans="1:13" ht="12.75">
      <c r="A544" s="3">
        <f t="shared" si="51"/>
        <v>7</v>
      </c>
      <c r="B544" s="3" t="s">
        <v>104</v>
      </c>
      <c r="C544" s="3">
        <v>1939</v>
      </c>
      <c r="D544" s="23">
        <v>109737.314</v>
      </c>
      <c r="E544" s="3">
        <v>0.02</v>
      </c>
      <c r="F544" s="3"/>
      <c r="G544" s="3"/>
      <c r="H544" s="3"/>
      <c r="I544" s="3"/>
      <c r="J544" s="3">
        <f t="shared" si="52"/>
        <v>0.01123599999995064</v>
      </c>
      <c r="K544" s="3">
        <f t="shared" si="49"/>
        <v>-0.009219130442943424</v>
      </c>
      <c r="L544" s="3">
        <f t="shared" si="50"/>
        <v>8.499236612400621E-05</v>
      </c>
      <c r="M544" s="3">
        <v>2</v>
      </c>
    </row>
    <row r="545" spans="1:13" ht="12.75">
      <c r="A545" s="3">
        <f t="shared" si="51"/>
        <v>8</v>
      </c>
      <c r="B545" s="3" t="s">
        <v>105</v>
      </c>
      <c r="C545" s="3">
        <v>1940</v>
      </c>
      <c r="D545" s="23">
        <v>109737.311</v>
      </c>
      <c r="E545" s="3">
        <v>0.009</v>
      </c>
      <c r="F545" s="3"/>
      <c r="G545" s="3"/>
      <c r="H545" s="3"/>
      <c r="I545" s="3"/>
      <c r="J545" s="3">
        <f t="shared" si="52"/>
        <v>8.999999981839209E-06</v>
      </c>
      <c r="K545" s="3">
        <f t="shared" si="49"/>
        <v>-0.012219130439916626</v>
      </c>
      <c r="L545" s="3">
        <f t="shared" si="50"/>
        <v>0.00014930714870769706</v>
      </c>
      <c r="M545" s="3">
        <v>2</v>
      </c>
    </row>
    <row r="546" spans="1:13" ht="12.75">
      <c r="A546" s="3">
        <f t="shared" si="51"/>
        <v>9</v>
      </c>
      <c r="B546" s="3" t="s">
        <v>50</v>
      </c>
      <c r="C546" s="3">
        <v>1941</v>
      </c>
      <c r="D546" s="23">
        <v>109737.303</v>
      </c>
      <c r="E546" s="3">
        <v>0.017</v>
      </c>
      <c r="F546" s="3"/>
      <c r="G546" s="3"/>
      <c r="H546" s="3"/>
      <c r="I546" s="3"/>
      <c r="J546" s="3">
        <f t="shared" si="52"/>
        <v>6.400000002607704E-05</v>
      </c>
      <c r="K546" s="3">
        <f t="shared" si="49"/>
        <v>-0.02021913044154644</v>
      </c>
      <c r="L546" s="3">
        <f t="shared" si="50"/>
        <v>0.00040881323581226994</v>
      </c>
      <c r="M546" s="3">
        <v>2</v>
      </c>
    </row>
    <row r="547" spans="1:13" ht="12.75">
      <c r="A547" s="3">
        <f t="shared" si="51"/>
        <v>10</v>
      </c>
      <c r="B547" s="3" t="s">
        <v>106</v>
      </c>
      <c r="C547" s="3">
        <v>1947</v>
      </c>
      <c r="D547" s="23">
        <v>109737.3</v>
      </c>
      <c r="E547" s="3">
        <v>0.05</v>
      </c>
      <c r="F547" s="3"/>
      <c r="G547" s="3"/>
      <c r="H547" s="3"/>
      <c r="I547" s="3"/>
      <c r="J547" s="3">
        <f t="shared" si="52"/>
        <v>8.999999981839209E-06</v>
      </c>
      <c r="K547" s="3">
        <f t="shared" si="49"/>
        <v>-0.023219130438519642</v>
      </c>
      <c r="L547" s="3">
        <f t="shared" si="50"/>
        <v>0.0005391280183209893</v>
      </c>
      <c r="M547" s="3">
        <v>2</v>
      </c>
    </row>
    <row r="548" spans="1:13" ht="12.75">
      <c r="A548" s="3">
        <f t="shared" si="51"/>
        <v>11</v>
      </c>
      <c r="B548" s="3" t="s">
        <v>223</v>
      </c>
      <c r="C548" s="3">
        <v>1951</v>
      </c>
      <c r="D548" s="23">
        <v>109737.323</v>
      </c>
      <c r="E548" s="3">
        <v>0.024</v>
      </c>
      <c r="F548" s="3"/>
      <c r="G548" s="3"/>
      <c r="H548" s="3"/>
      <c r="I548" s="3"/>
      <c r="J548" s="3">
        <f t="shared" si="52"/>
        <v>0.000529000000048196</v>
      </c>
      <c r="K548" s="3">
        <f t="shared" si="49"/>
        <v>-0.00021913043747190386</v>
      </c>
      <c r="L548" s="3">
        <f t="shared" si="50"/>
        <v>4.801814862662797E-08</v>
      </c>
      <c r="M548" s="3">
        <v>2</v>
      </c>
    </row>
    <row r="549" spans="1:13" ht="12.75">
      <c r="A549" s="3">
        <f t="shared" si="51"/>
        <v>12</v>
      </c>
      <c r="B549" s="3" t="s">
        <v>174</v>
      </c>
      <c r="C549" s="3">
        <v>1952</v>
      </c>
      <c r="D549" s="23">
        <v>109737.311</v>
      </c>
      <c r="E549" s="3">
        <v>0.012</v>
      </c>
      <c r="F549" s="3"/>
      <c r="G549" s="3"/>
      <c r="H549" s="3"/>
      <c r="I549" s="3"/>
      <c r="J549" s="3">
        <f t="shared" si="52"/>
        <v>0.0001440000000586733</v>
      </c>
      <c r="K549" s="3">
        <f t="shared" si="49"/>
        <v>-0.012219130439916626</v>
      </c>
      <c r="L549" s="3">
        <f t="shared" si="50"/>
        <v>0.00014930714870769706</v>
      </c>
      <c r="M549" s="3">
        <v>2</v>
      </c>
    </row>
    <row r="550" spans="1:13" ht="12.75">
      <c r="A550" s="3">
        <f t="shared" si="51"/>
        <v>13</v>
      </c>
      <c r="B550" s="3" t="s">
        <v>106</v>
      </c>
      <c r="C550" s="3">
        <v>1952</v>
      </c>
      <c r="D550" s="23">
        <v>109737.309</v>
      </c>
      <c r="E550" s="3">
        <v>0.012</v>
      </c>
      <c r="F550" s="3"/>
      <c r="G550" s="3"/>
      <c r="H550" s="3"/>
      <c r="I550" s="3"/>
      <c r="J550" s="3">
        <f t="shared" si="52"/>
        <v>4.000000030733645E-06</v>
      </c>
      <c r="K550" s="3">
        <f t="shared" si="49"/>
        <v>-0.014219130447600037</v>
      </c>
      <c r="L550" s="3">
        <f t="shared" si="50"/>
        <v>0.00020218367068586642</v>
      </c>
      <c r="M550" s="3">
        <v>2</v>
      </c>
    </row>
    <row r="551" spans="1:13" ht="12.75">
      <c r="A551" s="3">
        <f t="shared" si="51"/>
        <v>14</v>
      </c>
      <c r="B551" s="3" t="s">
        <v>225</v>
      </c>
      <c r="C551" s="3">
        <v>1955</v>
      </c>
      <c r="D551" s="23">
        <v>109737.309</v>
      </c>
      <c r="E551" s="3">
        <v>0.012</v>
      </c>
      <c r="F551" s="3"/>
      <c r="G551" s="3"/>
      <c r="H551" s="3"/>
      <c r="I551" s="3"/>
      <c r="J551" s="3">
        <f t="shared" si="52"/>
        <v>0</v>
      </c>
      <c r="K551" s="3">
        <f t="shared" si="49"/>
        <v>-0.014219130447600037</v>
      </c>
      <c r="L551" s="3">
        <f t="shared" si="50"/>
        <v>0.00020218367068586642</v>
      </c>
      <c r="M551" s="3">
        <v>2</v>
      </c>
    </row>
    <row r="552" spans="1:13" ht="12.75">
      <c r="A552" s="3">
        <f t="shared" si="51"/>
        <v>15</v>
      </c>
      <c r="B552" s="3" t="s">
        <v>108</v>
      </c>
      <c r="C552" s="3">
        <v>1963</v>
      </c>
      <c r="D552" s="23">
        <v>109737.31</v>
      </c>
      <c r="E552" s="3">
        <v>0.03</v>
      </c>
      <c r="F552" s="3"/>
      <c r="G552" s="3"/>
      <c r="H552" s="3"/>
      <c r="I552" s="3"/>
      <c r="J552" s="3">
        <f t="shared" si="52"/>
        <v>1.0000000076834113E-06</v>
      </c>
      <c r="K552" s="3">
        <f t="shared" si="49"/>
        <v>-0.013219130443758331</v>
      </c>
      <c r="L552" s="3">
        <f t="shared" si="50"/>
        <v>0.00017474540968909834</v>
      </c>
      <c r="M552" s="3">
        <v>2</v>
      </c>
    </row>
    <row r="553" spans="1:13" ht="12.75">
      <c r="A553" s="3">
        <f t="shared" si="51"/>
        <v>16</v>
      </c>
      <c r="B553" s="3" t="s">
        <v>108</v>
      </c>
      <c r="C553" s="3">
        <v>1965</v>
      </c>
      <c r="D553" s="23">
        <v>109737.31</v>
      </c>
      <c r="E553" s="3">
        <v>0.01</v>
      </c>
      <c r="F553" s="3"/>
      <c r="G553" s="3"/>
      <c r="H553" s="3"/>
      <c r="I553" s="3"/>
      <c r="J553" s="3">
        <f t="shared" si="52"/>
        <v>0</v>
      </c>
      <c r="K553" s="3">
        <f t="shared" si="49"/>
        <v>-0.013219130443758331</v>
      </c>
      <c r="L553" s="3">
        <f t="shared" si="50"/>
        <v>0.00017474540968909834</v>
      </c>
      <c r="M553" s="3">
        <v>2</v>
      </c>
    </row>
    <row r="554" spans="1:13" ht="12.75">
      <c r="A554" s="3">
        <f t="shared" si="51"/>
        <v>17</v>
      </c>
      <c r="B554" s="3" t="s">
        <v>109</v>
      </c>
      <c r="C554" s="3">
        <v>1966</v>
      </c>
      <c r="D554" s="23">
        <v>109737.307</v>
      </c>
      <c r="E554" s="3">
        <v>0.007</v>
      </c>
      <c r="F554" s="3"/>
      <c r="G554" s="3"/>
      <c r="H554" s="3"/>
      <c r="I554" s="3"/>
      <c r="J554" s="3">
        <f t="shared" si="52"/>
        <v>8.999999981839209E-06</v>
      </c>
      <c r="K554" s="3">
        <f t="shared" si="49"/>
        <v>-0.016219130440731533</v>
      </c>
      <c r="L554" s="3">
        <f t="shared" si="50"/>
        <v>0.00026306019225346425</v>
      </c>
      <c r="M554" s="3">
        <v>2</v>
      </c>
    </row>
    <row r="555" spans="1:13" ht="12.75">
      <c r="A555" s="3">
        <f t="shared" si="51"/>
        <v>18</v>
      </c>
      <c r="B555" s="3" t="s">
        <v>78</v>
      </c>
      <c r="C555" s="3">
        <v>1969</v>
      </c>
      <c r="D555" s="23">
        <v>109737.312</v>
      </c>
      <c r="E555" s="3">
        <v>0.011</v>
      </c>
      <c r="F555" s="3"/>
      <c r="G555" s="3"/>
      <c r="H555" s="3"/>
      <c r="I555" s="3"/>
      <c r="J555" s="3">
        <f t="shared" si="52"/>
        <v>2.500000004656613E-05</v>
      </c>
      <c r="K555" s="3">
        <f t="shared" si="49"/>
        <v>-0.01121913043607492</v>
      </c>
      <c r="L555" s="3">
        <f t="shared" si="50"/>
        <v>0.00012586888774166263</v>
      </c>
      <c r="M555" s="3">
        <v>2</v>
      </c>
    </row>
    <row r="556" spans="1:13" ht="12.75">
      <c r="A556" s="3">
        <f t="shared" si="51"/>
        <v>19</v>
      </c>
      <c r="B556" s="3" t="s">
        <v>110</v>
      </c>
      <c r="C556" s="3">
        <v>1973</v>
      </c>
      <c r="D556" s="23">
        <v>109737.3177</v>
      </c>
      <c r="E556" s="3">
        <v>0.0083</v>
      </c>
      <c r="F556" s="3"/>
      <c r="G556" s="3"/>
      <c r="H556" s="3"/>
      <c r="I556" s="3"/>
      <c r="J556" s="3">
        <f t="shared" si="52"/>
        <v>3.248999993443955E-05</v>
      </c>
      <c r="K556" s="3">
        <f t="shared" si="49"/>
        <v>-0.005519130441825837</v>
      </c>
      <c r="L556" s="3">
        <f t="shared" si="50"/>
        <v>3.0460800833888658E-05</v>
      </c>
      <c r="M556" s="3">
        <v>2</v>
      </c>
    </row>
    <row r="557" spans="1:13" ht="12.75">
      <c r="A557" s="3">
        <f t="shared" si="51"/>
        <v>20</v>
      </c>
      <c r="B557" s="3" t="s">
        <v>111</v>
      </c>
      <c r="C557" s="3">
        <v>1974</v>
      </c>
      <c r="D557" s="23">
        <v>109737.3141</v>
      </c>
      <c r="E557" s="3">
        <v>0.001</v>
      </c>
      <c r="F557" s="3"/>
      <c r="G557" s="3"/>
      <c r="H557" s="3"/>
      <c r="I557" s="3"/>
      <c r="J557" s="3">
        <f t="shared" si="52"/>
        <v>1.2959999973848462E-05</v>
      </c>
      <c r="K557" s="3">
        <f t="shared" si="49"/>
        <v>-0.009119130438193679</v>
      </c>
      <c r="L557" s="3">
        <f t="shared" si="50"/>
        <v>8.315853994879044E-05</v>
      </c>
      <c r="M557" s="3">
        <v>2</v>
      </c>
    </row>
    <row r="558" spans="1:13" ht="12.75">
      <c r="A558" s="3">
        <f t="shared" si="51"/>
        <v>21</v>
      </c>
      <c r="B558" s="3" t="s">
        <v>112</v>
      </c>
      <c r="C558" s="3">
        <v>1978</v>
      </c>
      <c r="D558" s="23">
        <v>109737.3149</v>
      </c>
      <c r="E558" s="3">
        <v>0.00032</v>
      </c>
      <c r="F558" s="3"/>
      <c r="G558" s="3"/>
      <c r="H558" s="3"/>
      <c r="I558" s="3"/>
      <c r="J558" s="3">
        <f t="shared" si="52"/>
        <v>6.399999909475446E-07</v>
      </c>
      <c r="K558" s="3">
        <f t="shared" si="49"/>
        <v>-0.008319130443851463</v>
      </c>
      <c r="L558" s="3">
        <f t="shared" si="50"/>
        <v>6.920793134181625E-05</v>
      </c>
      <c r="M558" s="3">
        <v>2</v>
      </c>
    </row>
    <row r="559" spans="1:13" ht="12.75">
      <c r="A559" s="3">
        <f t="shared" si="51"/>
        <v>22</v>
      </c>
      <c r="B559" s="3" t="s">
        <v>113</v>
      </c>
      <c r="C559" s="3">
        <v>1979</v>
      </c>
      <c r="D559" s="23">
        <v>109737.31513</v>
      </c>
      <c r="E559" s="3">
        <v>0.00085</v>
      </c>
      <c r="F559" s="3"/>
      <c r="G559" s="3"/>
      <c r="H559" s="3"/>
      <c r="I559" s="3"/>
      <c r="J559" s="3">
        <f t="shared" si="52"/>
        <v>5.290000234767797E-08</v>
      </c>
      <c r="K559" s="3">
        <f t="shared" si="49"/>
        <v>-0.008089130438747816</v>
      </c>
      <c r="L559" s="3">
        <f t="shared" si="50"/>
        <v>6.543403125507643E-05</v>
      </c>
      <c r="M559" s="3">
        <v>2</v>
      </c>
    </row>
    <row r="560" spans="1:13" ht="12.75">
      <c r="A560" s="3">
        <f t="shared" si="51"/>
        <v>23</v>
      </c>
      <c r="B560" s="3" t="s">
        <v>114</v>
      </c>
      <c r="C560" s="3">
        <v>1981</v>
      </c>
      <c r="D560" s="23">
        <v>109737.31521</v>
      </c>
      <c r="E560" s="3">
        <v>0.00011</v>
      </c>
      <c r="F560" s="3"/>
      <c r="G560" s="3"/>
      <c r="H560" s="3"/>
      <c r="I560" s="3"/>
      <c r="J560" s="3">
        <f t="shared" si="52"/>
        <v>6.399999676644806E-09</v>
      </c>
      <c r="K560" s="3">
        <f t="shared" si="49"/>
        <v>-0.008009130440768786</v>
      </c>
      <c r="L560" s="3"/>
      <c r="M560" s="3">
        <v>2</v>
      </c>
    </row>
    <row r="561" spans="1:13" ht="12.75">
      <c r="A561" s="3"/>
      <c r="B561" s="3"/>
      <c r="C561" s="11" t="s">
        <v>229</v>
      </c>
      <c r="D561" s="24">
        <f>AVERAGE(D538:D560)</f>
        <v>109737.32321913044</v>
      </c>
      <c r="E561" s="3">
        <f>AVERAGE(E538:E560)</f>
        <v>0.029590434782608702</v>
      </c>
      <c r="F561" s="8"/>
      <c r="G561" s="9"/>
      <c r="H561" s="9"/>
      <c r="I561" s="9" t="s">
        <v>230</v>
      </c>
      <c r="J561" s="3">
        <f>SUM(J538:J560)</f>
        <v>0.024734149300909187</v>
      </c>
      <c r="K561" s="15">
        <f>SUM(K538:K560)</f>
        <v>-1.4551915228366852E-10</v>
      </c>
      <c r="L561" s="4">
        <f>SUM(L538:L560)</f>
        <v>0.01575528041259579</v>
      </c>
      <c r="M561" s="3"/>
    </row>
    <row r="562" spans="1:13" ht="12.75">
      <c r="A562" s="3"/>
      <c r="B562" s="3"/>
      <c r="C562" s="11" t="s">
        <v>231</v>
      </c>
      <c r="D562" s="24">
        <f>STDEV(D538:D560)</f>
        <v>0.026753988923064437</v>
      </c>
      <c r="E562" s="3">
        <f>STDEV(E538:E560)</f>
        <v>0.042659363725197956</v>
      </c>
      <c r="F562" s="10"/>
      <c r="G562" s="3"/>
      <c r="H562" s="3"/>
      <c r="I562" s="3"/>
      <c r="J562" s="3"/>
      <c r="K562" s="3"/>
      <c r="L562" s="4"/>
      <c r="M562" s="3"/>
    </row>
    <row r="563" spans="1:12" ht="15.75">
      <c r="A563" s="3"/>
      <c r="B563" s="3"/>
      <c r="C563" s="11" t="s">
        <v>232</v>
      </c>
      <c r="D563" s="24">
        <f>VAR(D538:D560)</f>
        <v>0.0007157759232954545</v>
      </c>
      <c r="E563" s="3">
        <f>VAR(E538:E560)</f>
        <v>0.0018198213134387351</v>
      </c>
      <c r="F563" s="3"/>
      <c r="G563" s="3"/>
      <c r="H563" s="3"/>
      <c r="I563" s="3"/>
      <c r="J563" s="2" t="s">
        <v>233</v>
      </c>
      <c r="L563" s="2" t="s">
        <v>234</v>
      </c>
    </row>
    <row r="564" spans="1:11" ht="13.5">
      <c r="A564" s="3"/>
      <c r="B564" s="3"/>
      <c r="C564" s="3"/>
      <c r="D564" s="3"/>
      <c r="E564" s="3"/>
      <c r="F564" s="3"/>
      <c r="G564" s="3"/>
      <c r="H564" s="3"/>
      <c r="I564" s="3"/>
      <c r="J564" s="6" t="s">
        <v>237</v>
      </c>
      <c r="K564" s="19">
        <f>J561/L561</f>
        <v>1.569895847815892</v>
      </c>
    </row>
    <row r="565" spans="1:11" ht="13.5">
      <c r="A565" s="3"/>
      <c r="B565" s="3"/>
      <c r="C565" s="3"/>
      <c r="D565" s="3"/>
      <c r="E565" s="3"/>
      <c r="F565" s="3"/>
      <c r="G565" s="3"/>
      <c r="H565" s="3"/>
      <c r="I565" s="11"/>
      <c r="J565" s="6" t="s">
        <v>239</v>
      </c>
      <c r="K565" s="19">
        <f>(M560-(K572+1))/K573</f>
        <v>-4.4818474451657915</v>
      </c>
    </row>
    <row r="566" spans="1:13" ht="13.5">
      <c r="A566" s="3"/>
      <c r="C566" s="3"/>
      <c r="D566" s="3"/>
      <c r="E566" s="3"/>
      <c r="F566" s="3"/>
      <c r="G566" s="3"/>
      <c r="H566" s="3"/>
      <c r="I566" s="3"/>
      <c r="J566" s="6" t="s">
        <v>14</v>
      </c>
      <c r="K566" s="19">
        <f>((K567)*(K569))/K570</f>
        <v>1.4041327351181623</v>
      </c>
      <c r="L566" s="3"/>
      <c r="M566" s="3"/>
    </row>
    <row r="567" spans="1:13" ht="12.75">
      <c r="A567" s="3"/>
      <c r="C567" s="3"/>
      <c r="D567" s="3"/>
      <c r="E567" s="3"/>
      <c r="F567" s="3"/>
      <c r="G567" s="3"/>
      <c r="H567" s="3"/>
      <c r="I567" s="3"/>
      <c r="J567" t="s">
        <v>16</v>
      </c>
      <c r="K567">
        <f>D561-D560</f>
        <v>0.008009130440768786</v>
      </c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t="s">
        <v>20</v>
      </c>
      <c r="K568">
        <f>A560</f>
        <v>23</v>
      </c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t="s">
        <v>23</v>
      </c>
      <c r="K569">
        <f>(K568-1)^0.5</f>
        <v>4.69041575982343</v>
      </c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t="s">
        <v>231</v>
      </c>
      <c r="K570">
        <f>D562</f>
        <v>0.026753988923064437</v>
      </c>
      <c r="L570" s="3"/>
      <c r="M570" s="3"/>
    </row>
    <row r="571" spans="1:13" ht="13.5">
      <c r="A571" s="3"/>
      <c r="B571" s="6" t="s">
        <v>176</v>
      </c>
      <c r="C571" s="3"/>
      <c r="D571" s="3"/>
      <c r="E571" s="3"/>
      <c r="F571" s="3"/>
      <c r="G571" s="3"/>
      <c r="H571" s="3"/>
      <c r="I571" s="3"/>
      <c r="J571" t="s">
        <v>24</v>
      </c>
      <c r="K571">
        <f>A560</f>
        <v>23</v>
      </c>
      <c r="L571" s="3"/>
      <c r="M571" s="3"/>
    </row>
    <row r="572" spans="1:13" ht="12.75">
      <c r="A572" s="3"/>
      <c r="B572" s="3" t="s">
        <v>177</v>
      </c>
      <c r="C572" s="3"/>
      <c r="D572" s="3"/>
      <c r="E572" s="3"/>
      <c r="F572" s="3"/>
      <c r="G572" s="3"/>
      <c r="H572" s="3"/>
      <c r="I572" s="3"/>
      <c r="J572" t="s">
        <v>25</v>
      </c>
      <c r="K572">
        <f>K571/2</f>
        <v>11.5</v>
      </c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t="s">
        <v>26</v>
      </c>
      <c r="K573">
        <f>((K572*(K572-1))/(K571-1))^0.5</f>
        <v>2.342783891791209</v>
      </c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3.5">
      <c r="A575" s="6" t="s">
        <v>191</v>
      </c>
      <c r="B575" s="5" t="s">
        <v>81</v>
      </c>
      <c r="C575" s="5" t="s">
        <v>193</v>
      </c>
      <c r="D575" s="5" t="s">
        <v>178</v>
      </c>
      <c r="E575" s="6" t="s">
        <v>195</v>
      </c>
      <c r="F575" s="6"/>
      <c r="G575" s="6"/>
      <c r="H575" s="6"/>
      <c r="I575" s="6"/>
      <c r="J575" s="5" t="s">
        <v>199</v>
      </c>
      <c r="K575" s="5" t="s">
        <v>200</v>
      </c>
      <c r="L575" s="5" t="s">
        <v>201</v>
      </c>
      <c r="M575" s="5" t="s">
        <v>202</v>
      </c>
    </row>
    <row r="576" spans="1:13" ht="12.75">
      <c r="A576" s="3">
        <v>1</v>
      </c>
      <c r="B576" s="4"/>
      <c r="C576" s="4">
        <v>1929</v>
      </c>
      <c r="D576" s="25">
        <v>8.3136</v>
      </c>
      <c r="E576" s="16"/>
      <c r="F576" s="3"/>
      <c r="G576" s="3"/>
      <c r="H576" s="3"/>
      <c r="I576" s="3"/>
      <c r="J576" s="3"/>
      <c r="K576" s="16">
        <f aca="true" t="shared" si="53" ref="K576:K583">D576-$D$585</f>
        <v>8.312343636207045</v>
      </c>
      <c r="L576" s="3">
        <f aca="true" t="shared" si="54" ref="L576:L582">(K576)^2</f>
        <v>69.09505672639175</v>
      </c>
      <c r="M576" s="3">
        <v>1</v>
      </c>
    </row>
    <row r="577" spans="1:13" ht="12.75">
      <c r="A577" s="3">
        <f aca="true" t="shared" si="55" ref="A577:A583">A576+1</f>
        <v>2</v>
      </c>
      <c r="B577" s="4"/>
      <c r="C577" s="4">
        <v>1939</v>
      </c>
      <c r="D577" s="25">
        <v>8.314</v>
      </c>
      <c r="E577" s="16"/>
      <c r="F577" s="3"/>
      <c r="G577" s="3"/>
      <c r="H577" s="3"/>
      <c r="I577" s="3"/>
      <c r="J577" s="3">
        <f aca="true" t="shared" si="56" ref="J577:J583">D576-D577</f>
        <v>-0.0004000000000008441</v>
      </c>
      <c r="K577" s="16">
        <f t="shared" si="53"/>
        <v>8.312743636207045</v>
      </c>
      <c r="L577" s="3">
        <f t="shared" si="54"/>
        <v>69.10170676130073</v>
      </c>
      <c r="M577" s="3">
        <v>1</v>
      </c>
    </row>
    <row r="578" spans="1:13" ht="12.75">
      <c r="A578" s="3">
        <f t="shared" si="55"/>
        <v>3</v>
      </c>
      <c r="B578" s="4"/>
      <c r="C578" s="4">
        <v>1941</v>
      </c>
      <c r="D578" s="25">
        <v>8.315</v>
      </c>
      <c r="E578" s="16"/>
      <c r="F578" s="3"/>
      <c r="G578" s="3"/>
      <c r="H578" s="3"/>
      <c r="I578" s="3"/>
      <c r="J578" s="3">
        <f t="shared" si="56"/>
        <v>-0.0009999999999994458</v>
      </c>
      <c r="K578" s="16">
        <f t="shared" si="53"/>
        <v>8.313743636207045</v>
      </c>
      <c r="L578" s="3">
        <f t="shared" si="54"/>
        <v>69.11833324857314</v>
      </c>
      <c r="M578" s="3">
        <v>1</v>
      </c>
    </row>
    <row r="579" spans="1:13" ht="12.75">
      <c r="A579" s="3">
        <f t="shared" si="55"/>
        <v>4</v>
      </c>
      <c r="B579" s="4"/>
      <c r="C579" s="4">
        <v>1951</v>
      </c>
      <c r="D579" s="25">
        <v>8.314</v>
      </c>
      <c r="E579" s="16"/>
      <c r="F579" s="3"/>
      <c r="G579" s="3"/>
      <c r="H579" s="3"/>
      <c r="I579" s="3"/>
      <c r="J579" s="3">
        <f t="shared" si="56"/>
        <v>0.0009999999999994458</v>
      </c>
      <c r="K579" s="16">
        <f t="shared" si="53"/>
        <v>8.312743636207045</v>
      </c>
      <c r="L579" s="3">
        <f t="shared" si="54"/>
        <v>69.10170676130073</v>
      </c>
      <c r="M579" s="3">
        <v>1</v>
      </c>
    </row>
    <row r="580" spans="1:13" ht="12.75">
      <c r="A580" s="3">
        <f t="shared" si="55"/>
        <v>5</v>
      </c>
      <c r="B580" s="4"/>
      <c r="C580" s="4">
        <v>1953</v>
      </c>
      <c r="D580" s="25">
        <v>8.3166</v>
      </c>
      <c r="E580" s="16"/>
      <c r="F580" s="3"/>
      <c r="G580" s="3"/>
      <c r="H580" s="3"/>
      <c r="I580" s="3"/>
      <c r="J580" s="3">
        <f t="shared" si="56"/>
        <v>-0.0025999999999992696</v>
      </c>
      <c r="K580" s="16">
        <f t="shared" si="53"/>
        <v>8.315343636207045</v>
      </c>
      <c r="L580" s="3">
        <f t="shared" si="54"/>
        <v>69.144939788209</v>
      </c>
      <c r="M580" s="3">
        <v>1</v>
      </c>
    </row>
    <row r="581" spans="1:13" ht="12.75">
      <c r="A581" s="3">
        <f t="shared" si="55"/>
        <v>6</v>
      </c>
      <c r="B581" s="4"/>
      <c r="C581" s="4">
        <v>1957</v>
      </c>
      <c r="D581" s="25">
        <v>8.3144</v>
      </c>
      <c r="E581" s="16"/>
      <c r="F581" s="3"/>
      <c r="G581" s="3"/>
      <c r="H581" s="3"/>
      <c r="I581" s="3"/>
      <c r="J581" s="3">
        <f t="shared" si="56"/>
        <v>0.002200000000000202</v>
      </c>
      <c r="K581" s="16">
        <f t="shared" si="53"/>
        <v>8.313143636207045</v>
      </c>
      <c r="L581" s="3">
        <f t="shared" si="54"/>
        <v>69.10835711620969</v>
      </c>
      <c r="M581" s="3">
        <v>1</v>
      </c>
    </row>
    <row r="582" spans="1:13" ht="12.75">
      <c r="A582" s="3">
        <f t="shared" si="55"/>
        <v>7</v>
      </c>
      <c r="B582" s="4"/>
      <c r="C582" s="4">
        <v>1960</v>
      </c>
      <c r="D582" s="25">
        <v>8.31696</v>
      </c>
      <c r="E582" s="16"/>
      <c r="F582" s="3"/>
      <c r="G582" s="3"/>
      <c r="H582" s="3"/>
      <c r="I582" s="3"/>
      <c r="J582" s="3">
        <f t="shared" si="56"/>
        <v>-0.002560000000000784</v>
      </c>
      <c r="K582" s="16">
        <f t="shared" si="53"/>
        <v>8.315703636207045</v>
      </c>
      <c r="L582" s="3">
        <f t="shared" si="54"/>
        <v>69.15092696522707</v>
      </c>
      <c r="M582" s="3">
        <v>1</v>
      </c>
    </row>
    <row r="583" spans="1:13" ht="12.75">
      <c r="A583" s="3">
        <f t="shared" si="55"/>
        <v>8</v>
      </c>
      <c r="B583" s="4"/>
      <c r="C583" s="4">
        <v>1963</v>
      </c>
      <c r="D583" s="25">
        <v>8.3143</v>
      </c>
      <c r="E583" s="16"/>
      <c r="F583" s="3"/>
      <c r="G583" s="3"/>
      <c r="H583" s="3"/>
      <c r="I583" s="3"/>
      <c r="J583" s="3">
        <f t="shared" si="56"/>
        <v>0.002660000000000551</v>
      </c>
      <c r="K583" s="16">
        <f t="shared" si="53"/>
        <v>8.313043636207045</v>
      </c>
      <c r="L583" s="3"/>
      <c r="M583" s="3">
        <v>1</v>
      </c>
    </row>
    <row r="584" spans="1:13" ht="12.75">
      <c r="A584" s="3"/>
      <c r="B584" s="3"/>
      <c r="C584" s="11" t="s">
        <v>229</v>
      </c>
      <c r="D584" s="20">
        <f>AVERAGE(D576:D583)</f>
        <v>8.3148575</v>
      </c>
      <c r="E584" s="16"/>
      <c r="F584" s="8"/>
      <c r="G584" s="9"/>
      <c r="H584" s="9"/>
      <c r="I584" s="9" t="s">
        <v>230</v>
      </c>
      <c r="J584" s="3">
        <f>SUM(J576:J583)</f>
        <v>-0.000700000000000145</v>
      </c>
      <c r="K584" s="16">
        <f>SUM(K576:K583)</f>
        <v>66.50880908965637</v>
      </c>
      <c r="L584" s="4">
        <f>SUM(L576:L583)</f>
        <v>483.8210273672121</v>
      </c>
      <c r="M584" s="3"/>
    </row>
    <row r="585" spans="1:13" ht="12.75">
      <c r="A585" s="3"/>
      <c r="B585" s="3"/>
      <c r="C585" s="11" t="s">
        <v>231</v>
      </c>
      <c r="D585" s="20">
        <f>STDEV(D576:D583)</f>
        <v>0.001256363792953944</v>
      </c>
      <c r="E585" s="16"/>
      <c r="F585" s="10"/>
      <c r="G585" s="3"/>
      <c r="H585" s="3"/>
      <c r="I585" s="3"/>
      <c r="J585" s="3"/>
      <c r="K585" s="3"/>
      <c r="L585" s="4"/>
      <c r="M585" s="3"/>
    </row>
    <row r="586" spans="1:12" ht="15.75">
      <c r="A586" s="3"/>
      <c r="B586" s="3"/>
      <c r="C586" s="11" t="s">
        <v>232</v>
      </c>
      <c r="D586" s="20">
        <f>VAR(D576:D583)</f>
        <v>1.5784499802456203E-06</v>
      </c>
      <c r="E586" s="16"/>
      <c r="F586" s="3"/>
      <c r="G586" s="3"/>
      <c r="H586" s="3"/>
      <c r="I586" s="3"/>
      <c r="J586" s="2" t="s">
        <v>233</v>
      </c>
      <c r="L586" s="2" t="s">
        <v>234</v>
      </c>
    </row>
    <row r="587" spans="1:11" ht="13.5">
      <c r="A587" s="3"/>
      <c r="B587" s="3"/>
      <c r="C587" s="3"/>
      <c r="D587" s="3"/>
      <c r="E587" s="3"/>
      <c r="F587" s="3"/>
      <c r="G587" s="3"/>
      <c r="H587" s="3"/>
      <c r="I587" s="3"/>
      <c r="J587" s="6" t="s">
        <v>237</v>
      </c>
      <c r="K587" s="19">
        <f>J584/L584</f>
        <v>-1.4468159927014844E-06</v>
      </c>
    </row>
    <row r="588" spans="1:11" ht="13.5">
      <c r="A588" s="3"/>
      <c r="B588" s="3"/>
      <c r="C588" s="3"/>
      <c r="D588" s="3"/>
      <c r="E588" s="3"/>
      <c r="F588" s="3"/>
      <c r="G588" s="3"/>
      <c r="H588" s="3"/>
      <c r="I588" s="11"/>
      <c r="J588" s="6" t="s">
        <v>239</v>
      </c>
      <c r="K588" s="19">
        <f>(M583-(K595+1))/K596</f>
        <v>-3.0550504633038935</v>
      </c>
    </row>
    <row r="589" spans="1:11" ht="13.5">
      <c r="A589" s="3"/>
      <c r="B589" s="3"/>
      <c r="C589" s="3"/>
      <c r="D589" s="3"/>
      <c r="E589" s="3"/>
      <c r="F589" s="3"/>
      <c r="G589" s="3"/>
      <c r="H589" s="3"/>
      <c r="I589" s="3"/>
      <c r="J589" s="6" t="s">
        <v>14</v>
      </c>
      <c r="K589" s="19">
        <f>((K590)*(K592))/K593</f>
        <v>1.174028067502171</v>
      </c>
    </row>
    <row r="590" spans="1:11" ht="12.75">
      <c r="A590" s="3"/>
      <c r="B590" s="3"/>
      <c r="C590" s="3"/>
      <c r="D590" s="3"/>
      <c r="E590" s="3"/>
      <c r="F590" s="3"/>
      <c r="G590" s="3"/>
      <c r="H590" s="3"/>
      <c r="I590" s="11"/>
      <c r="J590" t="s">
        <v>16</v>
      </c>
      <c r="K590">
        <f>D584-D583</f>
        <v>0.0005575000000010988</v>
      </c>
    </row>
    <row r="591" spans="1:13" ht="12.75">
      <c r="A591" s="3"/>
      <c r="C591" s="3"/>
      <c r="D591" s="3"/>
      <c r="E591" s="3"/>
      <c r="F591" s="3"/>
      <c r="G591" s="3"/>
      <c r="H591" s="3"/>
      <c r="I591" s="3"/>
      <c r="J591" t="s">
        <v>20</v>
      </c>
      <c r="K591">
        <f>A583</f>
        <v>8</v>
      </c>
      <c r="L591" s="3"/>
      <c r="M591" s="3"/>
    </row>
    <row r="592" spans="1:13" ht="12.75">
      <c r="A592" s="3"/>
      <c r="C592" s="3"/>
      <c r="D592" s="3"/>
      <c r="E592" s="3"/>
      <c r="F592" s="3"/>
      <c r="G592" s="3"/>
      <c r="H592" s="3"/>
      <c r="I592" s="3"/>
      <c r="J592" t="s">
        <v>23</v>
      </c>
      <c r="K592">
        <f>(K591-1)^0.5</f>
        <v>2.6457513110645907</v>
      </c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t="s">
        <v>231</v>
      </c>
      <c r="K593">
        <f>D585</f>
        <v>0.001256363792953944</v>
      </c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t="s">
        <v>24</v>
      </c>
      <c r="K594">
        <f>A583</f>
        <v>8</v>
      </c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t="s">
        <v>25</v>
      </c>
      <c r="K595">
        <f>K594/2</f>
        <v>4</v>
      </c>
      <c r="L595" s="3"/>
      <c r="M595" s="3"/>
    </row>
    <row r="596" spans="1:13" ht="13.5">
      <c r="A596" s="3"/>
      <c r="B596" s="6" t="s">
        <v>179</v>
      </c>
      <c r="C596" s="3"/>
      <c r="D596" s="3"/>
      <c r="E596" s="3"/>
      <c r="F596" s="3"/>
      <c r="G596" s="3"/>
      <c r="H596" s="3"/>
      <c r="I596" s="3"/>
      <c r="J596" t="s">
        <v>26</v>
      </c>
      <c r="K596">
        <f>((K595*(K595-1))/(K594-1))^0.5</f>
        <v>1.3093073414159542</v>
      </c>
      <c r="L596" s="3"/>
      <c r="M596" s="3"/>
    </row>
    <row r="597" spans="1:13" ht="12.75">
      <c r="A597" s="3"/>
      <c r="B597" s="3" t="s">
        <v>180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3.5">
      <c r="A599" s="6" t="s">
        <v>191</v>
      </c>
      <c r="B599" s="5" t="s">
        <v>81</v>
      </c>
      <c r="C599" s="5" t="s">
        <v>193</v>
      </c>
      <c r="D599" s="5" t="s">
        <v>181</v>
      </c>
      <c r="E599" s="6" t="s">
        <v>195</v>
      </c>
      <c r="F599" s="6"/>
      <c r="G599" s="6"/>
      <c r="H599" s="6"/>
      <c r="I599" s="6"/>
      <c r="J599" s="5" t="s">
        <v>199</v>
      </c>
      <c r="K599" s="5" t="s">
        <v>200</v>
      </c>
      <c r="L599" s="5" t="s">
        <v>201</v>
      </c>
      <c r="M599" s="5" t="s">
        <v>202</v>
      </c>
    </row>
    <row r="600" spans="1:13" ht="12.75">
      <c r="A600" s="3">
        <v>1</v>
      </c>
      <c r="B600" s="4"/>
      <c r="C600" s="4">
        <v>1929</v>
      </c>
      <c r="D600" s="25">
        <v>1.38</v>
      </c>
      <c r="E600" s="16"/>
      <c r="F600" s="3"/>
      <c r="G600" s="3"/>
      <c r="H600" s="3"/>
      <c r="I600" s="3"/>
      <c r="J600" s="3"/>
      <c r="K600" s="16">
        <f aca="true" t="shared" si="57" ref="K600:K609">D600-$D$610</f>
        <v>-0.00036199999999997345</v>
      </c>
      <c r="L600" s="3">
        <f aca="true" t="shared" si="58" ref="L600:L608">(K600)^2</f>
        <v>1.3104399999998078E-07</v>
      </c>
      <c r="M600" s="3">
        <v>1</v>
      </c>
    </row>
    <row r="601" spans="1:13" ht="12.75">
      <c r="A601" s="3">
        <f aca="true" t="shared" si="59" ref="A601:A609">A600+1</f>
        <v>2</v>
      </c>
      <c r="B601" s="4"/>
      <c r="C601" s="4">
        <v>1939</v>
      </c>
      <c r="D601" s="25">
        <v>1.3803</v>
      </c>
      <c r="E601" s="16"/>
      <c r="F601" s="3"/>
      <c r="G601" s="3"/>
      <c r="H601" s="3"/>
      <c r="I601" s="3"/>
      <c r="J601" s="3">
        <f aca="true" t="shared" si="60" ref="J601:J609">D600-D601</f>
        <v>-0.000300000000000189</v>
      </c>
      <c r="K601" s="16">
        <f t="shared" si="57"/>
        <v>-6.199999999978445E-05</v>
      </c>
      <c r="L601" s="3">
        <f t="shared" si="58"/>
        <v>3.843999999973272E-09</v>
      </c>
      <c r="M601" s="3">
        <v>1</v>
      </c>
    </row>
    <row r="602" spans="1:13" ht="12.75">
      <c r="A602" s="3">
        <f t="shared" si="59"/>
        <v>3</v>
      </c>
      <c r="B602" s="4"/>
      <c r="C602" s="4">
        <v>1941</v>
      </c>
      <c r="D602" s="25">
        <v>1.381</v>
      </c>
      <c r="E602" s="16"/>
      <c r="F602" s="3"/>
      <c r="G602" s="3"/>
      <c r="H602" s="3"/>
      <c r="I602" s="3"/>
      <c r="J602" s="3">
        <f t="shared" si="60"/>
        <v>-0.0006999999999999229</v>
      </c>
      <c r="K602" s="16">
        <f t="shared" si="57"/>
        <v>0.0006380000000001385</v>
      </c>
      <c r="L602" s="3">
        <f t="shared" si="58"/>
        <v>4.070440000001767E-07</v>
      </c>
      <c r="M602" s="3">
        <v>1</v>
      </c>
    </row>
    <row r="603" spans="1:13" ht="12.75">
      <c r="A603" s="3">
        <f t="shared" si="59"/>
        <v>4</v>
      </c>
      <c r="B603" s="4"/>
      <c r="C603" s="4">
        <v>1953</v>
      </c>
      <c r="D603" s="25">
        <v>1.3804</v>
      </c>
      <c r="E603" s="16"/>
      <c r="F603" s="3"/>
      <c r="G603" s="3"/>
      <c r="H603" s="3"/>
      <c r="I603" s="3"/>
      <c r="J603" s="3">
        <f t="shared" si="60"/>
        <v>0.0005999999999999339</v>
      </c>
      <c r="K603" s="16">
        <f t="shared" si="57"/>
        <v>3.800000000020454E-05</v>
      </c>
      <c r="L603" s="3">
        <f t="shared" si="58"/>
        <v>1.4440000000155448E-09</v>
      </c>
      <c r="M603" s="3">
        <v>1</v>
      </c>
    </row>
    <row r="604" spans="1:13" ht="12.75">
      <c r="A604" s="3">
        <f t="shared" si="59"/>
        <v>5</v>
      </c>
      <c r="B604" s="4"/>
      <c r="C604" s="4">
        <v>1953</v>
      </c>
      <c r="D604" s="25">
        <v>1.3805</v>
      </c>
      <c r="E604" s="16"/>
      <c r="F604" s="3"/>
      <c r="G604" s="3"/>
      <c r="H604" s="3"/>
      <c r="I604" s="3"/>
      <c r="J604" s="3">
        <f t="shared" si="60"/>
        <v>-9.999999999998899E-05</v>
      </c>
      <c r="K604" s="16">
        <f t="shared" si="57"/>
        <v>0.00013800000000019352</v>
      </c>
      <c r="L604" s="3">
        <f t="shared" si="58"/>
        <v>1.904400000005341E-08</v>
      </c>
      <c r="M604" s="3">
        <v>1</v>
      </c>
    </row>
    <row r="605" spans="1:13" ht="12.75">
      <c r="A605" s="3">
        <f t="shared" si="59"/>
        <v>6</v>
      </c>
      <c r="B605" s="4"/>
      <c r="C605" s="4">
        <v>1955</v>
      </c>
      <c r="D605" s="25">
        <v>1.38044</v>
      </c>
      <c r="E605" s="16"/>
      <c r="F605" s="3"/>
      <c r="G605" s="3"/>
      <c r="H605" s="3"/>
      <c r="I605" s="3"/>
      <c r="J605" s="3">
        <f t="shared" si="60"/>
        <v>6.000000000017103E-05</v>
      </c>
      <c r="K605" s="16">
        <f t="shared" si="57"/>
        <v>7.80000000000225E-05</v>
      </c>
      <c r="L605" s="3">
        <f t="shared" si="58"/>
        <v>6.084000000003509E-09</v>
      </c>
      <c r="M605" s="3">
        <v>1</v>
      </c>
    </row>
    <row r="606" spans="1:13" ht="12.75">
      <c r="A606" s="3">
        <f t="shared" si="59"/>
        <v>7</v>
      </c>
      <c r="B606" s="4"/>
      <c r="C606" s="4">
        <v>1957</v>
      </c>
      <c r="D606" s="25">
        <v>1.38044</v>
      </c>
      <c r="E606" s="16"/>
      <c r="F606" s="3"/>
      <c r="G606" s="3"/>
      <c r="H606" s="3"/>
      <c r="I606" s="3"/>
      <c r="J606" s="3">
        <f t="shared" si="60"/>
        <v>0</v>
      </c>
      <c r="K606" s="16">
        <f t="shared" si="57"/>
        <v>7.80000000000225E-05</v>
      </c>
      <c r="L606" s="3">
        <f t="shared" si="58"/>
        <v>6.084000000003509E-09</v>
      </c>
      <c r="M606" s="3">
        <v>1</v>
      </c>
    </row>
    <row r="607" spans="1:13" ht="12.75">
      <c r="A607" s="3">
        <f t="shared" si="59"/>
        <v>8</v>
      </c>
      <c r="B607" s="4"/>
      <c r="C607" s="4">
        <v>1958</v>
      </c>
      <c r="D607" s="25">
        <v>1.38</v>
      </c>
      <c r="E607" s="16"/>
      <c r="F607" s="3"/>
      <c r="G607" s="3"/>
      <c r="H607" s="3"/>
      <c r="I607" s="3"/>
      <c r="J607" s="3">
        <f t="shared" si="60"/>
        <v>0.00043999999999999595</v>
      </c>
      <c r="K607" s="16">
        <f t="shared" si="57"/>
        <v>-0.00036199999999997345</v>
      </c>
      <c r="L607" s="3">
        <f t="shared" si="58"/>
        <v>1.3104399999998078E-07</v>
      </c>
      <c r="M607" s="3">
        <v>1</v>
      </c>
    </row>
    <row r="608" spans="1:13" ht="12.75">
      <c r="A608" s="3">
        <f t="shared" si="59"/>
        <v>9</v>
      </c>
      <c r="B608" s="4"/>
      <c r="C608" s="4">
        <v>1960</v>
      </c>
      <c r="D608" s="25">
        <v>1.38</v>
      </c>
      <c r="E608" s="16"/>
      <c r="F608" s="3"/>
      <c r="G608" s="3"/>
      <c r="H608" s="3"/>
      <c r="I608" s="3"/>
      <c r="J608" s="3">
        <f t="shared" si="60"/>
        <v>0</v>
      </c>
      <c r="K608" s="16">
        <f t="shared" si="57"/>
        <v>-0.00036199999999997345</v>
      </c>
      <c r="L608" s="3">
        <f t="shared" si="58"/>
        <v>1.3104399999998078E-07</v>
      </c>
      <c r="M608" s="3">
        <v>1</v>
      </c>
    </row>
    <row r="609" spans="1:13" ht="12.75">
      <c r="A609" s="3">
        <f t="shared" si="59"/>
        <v>10</v>
      </c>
      <c r="B609" s="4"/>
      <c r="C609" s="4">
        <v>1963</v>
      </c>
      <c r="D609" s="25">
        <v>1.38054</v>
      </c>
      <c r="E609" s="16"/>
      <c r="F609" s="3"/>
      <c r="G609" s="3"/>
      <c r="H609" s="3"/>
      <c r="I609" s="3"/>
      <c r="J609" s="3">
        <f t="shared" si="60"/>
        <v>-0.000540000000000207</v>
      </c>
      <c r="K609" s="16">
        <f t="shared" si="57"/>
        <v>0.00017800000000023353</v>
      </c>
      <c r="L609" s="3"/>
      <c r="M609" s="3">
        <v>1</v>
      </c>
    </row>
    <row r="610" spans="1:13" ht="12.75">
      <c r="A610" s="3"/>
      <c r="B610" s="3"/>
      <c r="C610" s="11" t="s">
        <v>229</v>
      </c>
      <c r="D610" s="20">
        <f>AVERAGE(D600:D609)</f>
        <v>1.3803619999999999</v>
      </c>
      <c r="E610" s="16"/>
      <c r="F610" s="8"/>
      <c r="G610" s="9"/>
      <c r="H610" s="9"/>
      <c r="I610" s="9" t="s">
        <v>230</v>
      </c>
      <c r="J610" s="3">
        <f>SUM(J600:J609)</f>
        <v>-0.000540000000000207</v>
      </c>
      <c r="K610" s="16">
        <f>SUM(K600:K609)</f>
        <v>1.1102230246251565E-15</v>
      </c>
      <c r="L610" s="4">
        <f>SUM(L600:L609)</f>
        <v>8.366760000001683E-07</v>
      </c>
      <c r="M610" s="3"/>
    </row>
    <row r="611" spans="1:13" ht="12.75">
      <c r="A611" s="3"/>
      <c r="B611" s="3"/>
      <c r="C611" s="11" t="s">
        <v>231</v>
      </c>
      <c r="D611" s="20">
        <f>STDEV(D600:D609)</f>
        <v>0.0003106194529205856</v>
      </c>
      <c r="E611" s="16"/>
      <c r="F611" s="10"/>
      <c r="G611" s="3"/>
      <c r="H611" s="3"/>
      <c r="I611" s="3"/>
      <c r="J611" s="3"/>
      <c r="K611" s="3"/>
      <c r="L611" s="4"/>
      <c r="M611" s="3"/>
    </row>
    <row r="612" spans="1:12" ht="15.75">
      <c r="A612" s="3"/>
      <c r="B612" s="3"/>
      <c r="C612" s="11" t="s">
        <v>232</v>
      </c>
      <c r="D612" s="20">
        <f>VAR(D600:D609)</f>
        <v>9.648444453268388E-08</v>
      </c>
      <c r="E612" s="16"/>
      <c r="F612" s="3"/>
      <c r="G612" s="3"/>
      <c r="H612" s="3"/>
      <c r="I612" s="3"/>
      <c r="J612" s="2" t="s">
        <v>233</v>
      </c>
      <c r="L612" s="2" t="s">
        <v>234</v>
      </c>
    </row>
    <row r="613" spans="1:11" ht="13.5">
      <c r="A613" s="3"/>
      <c r="B613" s="3"/>
      <c r="C613" s="3"/>
      <c r="D613" s="3"/>
      <c r="E613" s="3"/>
      <c r="F613" s="3"/>
      <c r="G613" s="3"/>
      <c r="H613" s="3"/>
      <c r="I613" s="3"/>
      <c r="J613" s="6" t="s">
        <v>237</v>
      </c>
      <c r="K613" s="19">
        <f>J610/L610</f>
        <v>-645.4111268879451</v>
      </c>
    </row>
    <row r="614" spans="1:11" ht="13.5">
      <c r="A614" s="3"/>
      <c r="B614" s="3"/>
      <c r="C614" s="3"/>
      <c r="D614" s="3"/>
      <c r="E614" s="3"/>
      <c r="F614" s="3"/>
      <c r="G614" s="3"/>
      <c r="H614" s="3"/>
      <c r="I614" s="11"/>
      <c r="J614" s="6" t="s">
        <v>239</v>
      </c>
      <c r="K614" s="19">
        <f>(M609-(K621+1))/K622</f>
        <v>-3.3541019662496847</v>
      </c>
    </row>
    <row r="615" spans="1:11" ht="13.5">
      <c r="A615" s="3"/>
      <c r="B615" s="3"/>
      <c r="C615" s="3"/>
      <c r="D615" s="3"/>
      <c r="E615" s="3"/>
      <c r="F615" s="3"/>
      <c r="G615" s="3"/>
      <c r="H615" s="3"/>
      <c r="I615" s="3"/>
      <c r="J615" s="6" t="s">
        <v>14</v>
      </c>
      <c r="K615" s="19">
        <f>((K616)*(K618))/K619</f>
        <v>-1.7191453882871448</v>
      </c>
    </row>
    <row r="616" spans="1:11" ht="12.75">
      <c r="A616" s="3"/>
      <c r="B616" s="3"/>
      <c r="C616" s="3"/>
      <c r="D616" s="3"/>
      <c r="E616" s="3"/>
      <c r="F616" s="3"/>
      <c r="G616" s="3"/>
      <c r="H616" s="3"/>
      <c r="I616" s="11"/>
      <c r="J616" t="s">
        <v>16</v>
      </c>
      <c r="K616">
        <f>D610-D609</f>
        <v>-0.00017800000000023353</v>
      </c>
    </row>
    <row r="617" spans="1:11" ht="12.75">
      <c r="A617" s="3"/>
      <c r="B617" s="3"/>
      <c r="C617" s="3"/>
      <c r="D617" s="3"/>
      <c r="E617" s="3"/>
      <c r="F617" s="3"/>
      <c r="G617" s="3"/>
      <c r="H617" s="3"/>
      <c r="I617" s="11"/>
      <c r="J617" t="s">
        <v>20</v>
      </c>
      <c r="K617">
        <f>A609</f>
        <v>10</v>
      </c>
    </row>
    <row r="618" spans="1:11" ht="12.75">
      <c r="A618" s="3"/>
      <c r="B618" s="3"/>
      <c r="C618" s="3"/>
      <c r="D618" s="3"/>
      <c r="E618" s="3"/>
      <c r="F618" s="3"/>
      <c r="G618" s="3"/>
      <c r="H618" s="3"/>
      <c r="I618" s="11"/>
      <c r="J618" t="s">
        <v>23</v>
      </c>
      <c r="K618">
        <f>(K617-1)^0.5</f>
        <v>3</v>
      </c>
    </row>
    <row r="619" spans="1:11" ht="12.75">
      <c r="A619" s="3"/>
      <c r="B619" s="3"/>
      <c r="C619" s="3"/>
      <c r="D619" s="3"/>
      <c r="E619" s="3"/>
      <c r="F619" s="3"/>
      <c r="G619" s="3"/>
      <c r="H619" s="3"/>
      <c r="I619" s="11"/>
      <c r="J619" t="s">
        <v>231</v>
      </c>
      <c r="K619">
        <f>D611</f>
        <v>0.0003106194529205856</v>
      </c>
    </row>
    <row r="620" spans="1:11" ht="12.75">
      <c r="A620" s="3"/>
      <c r="B620" s="3"/>
      <c r="C620" s="3"/>
      <c r="D620" s="3"/>
      <c r="E620" s="3"/>
      <c r="F620" s="3"/>
      <c r="G620" s="3"/>
      <c r="H620" s="3"/>
      <c r="I620" s="11"/>
      <c r="J620" t="s">
        <v>24</v>
      </c>
      <c r="K620">
        <f>A609</f>
        <v>10</v>
      </c>
    </row>
    <row r="621" spans="1:11" ht="12.75">
      <c r="A621" s="3"/>
      <c r="B621" s="3"/>
      <c r="C621" s="3"/>
      <c r="D621" s="3"/>
      <c r="E621" s="3"/>
      <c r="F621" s="3"/>
      <c r="G621" s="3"/>
      <c r="H621" s="3"/>
      <c r="I621" s="3"/>
      <c r="J621" t="s">
        <v>25</v>
      </c>
      <c r="K621">
        <f>K620/2</f>
        <v>5</v>
      </c>
    </row>
    <row r="622" spans="1:11" ht="12.75">
      <c r="A622" s="3"/>
      <c r="B622" s="3"/>
      <c r="C622" s="3"/>
      <c r="D622" s="3"/>
      <c r="E622" s="3"/>
      <c r="F622" s="3"/>
      <c r="G622" s="3"/>
      <c r="H622" s="3"/>
      <c r="I622" s="3"/>
      <c r="J622" t="s">
        <v>26</v>
      </c>
      <c r="K622">
        <f>((K621*(K621-1))/(K620-1))^0.5</f>
        <v>1.4907119849998598</v>
      </c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3.5">
      <c r="A625" s="3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5.75">
      <c r="A626" s="3"/>
      <c r="B626" s="2" t="s">
        <v>182</v>
      </c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 t="s">
        <v>183</v>
      </c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3.5">
      <c r="A629" s="6" t="s">
        <v>191</v>
      </c>
      <c r="B629" s="5" t="s">
        <v>81</v>
      </c>
      <c r="C629" s="5" t="s">
        <v>193</v>
      </c>
      <c r="D629" s="5" t="s">
        <v>184</v>
      </c>
      <c r="E629" s="6" t="s">
        <v>195</v>
      </c>
      <c r="F629" s="6"/>
      <c r="G629" s="6"/>
      <c r="H629" s="6"/>
      <c r="I629" s="6"/>
      <c r="J629" s="5" t="s">
        <v>199</v>
      </c>
      <c r="K629" s="5" t="s">
        <v>200</v>
      </c>
      <c r="L629" s="5" t="s">
        <v>201</v>
      </c>
      <c r="M629" s="5" t="s">
        <v>202</v>
      </c>
    </row>
    <row r="630" spans="1:13" ht="12.75">
      <c r="A630" s="3">
        <v>1</v>
      </c>
      <c r="B630" s="4"/>
      <c r="C630" s="4">
        <v>1949</v>
      </c>
      <c r="D630" s="26">
        <v>0.92736</v>
      </c>
      <c r="E630" s="16"/>
      <c r="F630" s="3"/>
      <c r="G630" s="3"/>
      <c r="H630" s="3"/>
      <c r="I630" s="3"/>
      <c r="J630" s="3"/>
      <c r="K630" s="15">
        <f aca="true" t="shared" si="61" ref="K630:K638">D630-$D$639</f>
        <v>7.822222222175768E-06</v>
      </c>
      <c r="L630" s="3">
        <f aca="true" t="shared" si="62" ref="L630:L637">(K630)^2</f>
        <v>6.11871604931004E-11</v>
      </c>
      <c r="M630" s="3">
        <v>1</v>
      </c>
    </row>
    <row r="631" spans="1:13" ht="12.75">
      <c r="A631" s="3">
        <f aca="true" t="shared" si="63" ref="A631:A638">A630+1</f>
        <v>2</v>
      </c>
      <c r="B631" s="4"/>
      <c r="C631" s="4">
        <v>1950</v>
      </c>
      <c r="D631" s="26">
        <v>0.9274</v>
      </c>
      <c r="E631" s="16"/>
      <c r="F631" s="3"/>
      <c r="G631" s="3"/>
      <c r="H631" s="3"/>
      <c r="I631" s="3"/>
      <c r="J631" s="3">
        <f aca="true" t="shared" si="64" ref="J631:J638">D630-D631</f>
        <v>-4.0000000000040004E-05</v>
      </c>
      <c r="K631" s="15">
        <f t="shared" si="61"/>
        <v>4.782222222221577E-05</v>
      </c>
      <c r="L631" s="3">
        <f t="shared" si="62"/>
        <v>2.286964938270988E-09</v>
      </c>
      <c r="M631" s="3">
        <v>1</v>
      </c>
    </row>
    <row r="632" spans="1:13" ht="12.75">
      <c r="A632" s="3">
        <f t="shared" si="63"/>
        <v>3</v>
      </c>
      <c r="B632" s="4"/>
      <c r="C632" s="4">
        <v>1955</v>
      </c>
      <c r="D632" s="26">
        <v>0.92732</v>
      </c>
      <c r="E632" s="16"/>
      <c r="F632" s="3"/>
      <c r="G632" s="3"/>
      <c r="H632" s="3"/>
      <c r="I632" s="3"/>
      <c r="J632" s="3">
        <f t="shared" si="64"/>
        <v>7.999999999996898E-05</v>
      </c>
      <c r="K632" s="15">
        <f t="shared" si="61"/>
        <v>-3.2177777777753214E-05</v>
      </c>
      <c r="L632" s="3">
        <f t="shared" si="62"/>
        <v>1.0354093827144686E-09</v>
      </c>
      <c r="M632" s="3">
        <v>2</v>
      </c>
    </row>
    <row r="633" spans="1:13" ht="12.75">
      <c r="A633" s="3">
        <f t="shared" si="63"/>
        <v>4</v>
      </c>
      <c r="B633" s="4"/>
      <c r="C633" s="4">
        <v>1957</v>
      </c>
      <c r="D633" s="26">
        <v>0.92731</v>
      </c>
      <c r="E633" s="16"/>
      <c r="F633" s="3"/>
      <c r="G633" s="3"/>
      <c r="H633" s="3"/>
      <c r="I633" s="3"/>
      <c r="J633" s="3">
        <f t="shared" si="64"/>
        <v>1.0000000000065512E-05</v>
      </c>
      <c r="K633" s="15">
        <f t="shared" si="61"/>
        <v>-4.2177777777818726E-05</v>
      </c>
      <c r="L633" s="3">
        <f t="shared" si="62"/>
        <v>1.778964938275059E-09</v>
      </c>
      <c r="M633" s="3">
        <v>2</v>
      </c>
    </row>
    <row r="634" spans="1:13" ht="12.75">
      <c r="A634" s="3">
        <f t="shared" si="63"/>
        <v>5</v>
      </c>
      <c r="B634" s="4"/>
      <c r="C634" s="4">
        <v>1963</v>
      </c>
      <c r="D634" s="26">
        <v>0.92732</v>
      </c>
      <c r="E634" s="16"/>
      <c r="F634" s="3"/>
      <c r="G634" s="3"/>
      <c r="H634" s="3"/>
      <c r="I634" s="3"/>
      <c r="J634" s="3">
        <f t="shared" si="64"/>
        <v>-1.0000000000065512E-05</v>
      </c>
      <c r="K634" s="15">
        <f t="shared" si="61"/>
        <v>-3.2177777777753214E-05</v>
      </c>
      <c r="L634" s="3">
        <f t="shared" si="62"/>
        <v>1.0354093827144686E-09</v>
      </c>
      <c r="M634" s="3">
        <v>2</v>
      </c>
    </row>
    <row r="635" spans="1:13" ht="12.75">
      <c r="A635" s="3">
        <f t="shared" si="63"/>
        <v>6</v>
      </c>
      <c r="B635" s="4"/>
      <c r="C635" s="4">
        <v>1964</v>
      </c>
      <c r="D635" s="26">
        <v>0.92732</v>
      </c>
      <c r="E635" s="16"/>
      <c r="F635" s="3"/>
      <c r="G635" s="3"/>
      <c r="H635" s="3"/>
      <c r="I635" s="3"/>
      <c r="J635" s="3">
        <f t="shared" si="64"/>
        <v>0</v>
      </c>
      <c r="K635" s="15">
        <f t="shared" si="61"/>
        <v>-3.2177777777753214E-05</v>
      </c>
      <c r="L635" s="3">
        <f t="shared" si="62"/>
        <v>1.0354093827144686E-09</v>
      </c>
      <c r="M635" s="3">
        <v>2</v>
      </c>
    </row>
    <row r="636" spans="1:13" ht="12.75">
      <c r="A636" s="3">
        <f t="shared" si="63"/>
        <v>7</v>
      </c>
      <c r="B636" s="4"/>
      <c r="C636" s="4">
        <v>1969</v>
      </c>
      <c r="D636" s="26">
        <v>0.9274096</v>
      </c>
      <c r="E636" s="16"/>
      <c r="F636" s="3"/>
      <c r="G636" s="3"/>
      <c r="H636" s="3"/>
      <c r="I636" s="3"/>
      <c r="J636" s="3">
        <f t="shared" si="64"/>
        <v>-8.959999999991197E-05</v>
      </c>
      <c r="K636" s="15">
        <f t="shared" si="61"/>
        <v>5.742222222215876E-05</v>
      </c>
      <c r="L636" s="3">
        <f t="shared" si="62"/>
        <v>3.297311604930983E-09</v>
      </c>
      <c r="M636" s="3">
        <v>3</v>
      </c>
    </row>
    <row r="637" spans="1:13" ht="12.75">
      <c r="A637" s="3">
        <f t="shared" si="63"/>
        <v>8</v>
      </c>
      <c r="B637" s="4"/>
      <c r="C637" s="4">
        <v>1972</v>
      </c>
      <c r="D637" s="26">
        <v>0.92741</v>
      </c>
      <c r="E637" s="16"/>
      <c r="F637" s="3"/>
      <c r="G637" s="3"/>
      <c r="H637" s="3"/>
      <c r="I637" s="3"/>
      <c r="J637" s="3">
        <f t="shared" si="64"/>
        <v>-4.0000000001150227E-07</v>
      </c>
      <c r="K637" s="15">
        <f t="shared" si="61"/>
        <v>5.782222222217026E-05</v>
      </c>
      <c r="L637" s="3">
        <f t="shared" si="62"/>
        <v>3.3434093827100404E-09</v>
      </c>
      <c r="M637" s="3">
        <v>3</v>
      </c>
    </row>
    <row r="638" spans="1:13" ht="12.75">
      <c r="A638" s="3">
        <f t="shared" si="63"/>
        <v>9</v>
      </c>
      <c r="B638" s="4"/>
      <c r="C638" s="4">
        <v>1973</v>
      </c>
      <c r="D638" s="26">
        <v>0.92732</v>
      </c>
      <c r="E638" s="16"/>
      <c r="F638" s="3"/>
      <c r="G638" s="3"/>
      <c r="H638" s="3"/>
      <c r="I638" s="3"/>
      <c r="J638" s="3">
        <f t="shared" si="64"/>
        <v>8.999999999992347E-05</v>
      </c>
      <c r="K638" s="15">
        <f t="shared" si="61"/>
        <v>-3.2177777777753214E-05</v>
      </c>
      <c r="L638" s="3"/>
      <c r="M638" s="3">
        <v>4</v>
      </c>
    </row>
    <row r="639" spans="1:13" ht="12" customHeight="1">
      <c r="A639" s="3"/>
      <c r="B639" s="3"/>
      <c r="C639" s="11" t="s">
        <v>229</v>
      </c>
      <c r="D639" s="26">
        <f>AVERAGE(D630:D638)</f>
        <v>0.9273521777777778</v>
      </c>
      <c r="E639" s="3"/>
      <c r="F639" s="8"/>
      <c r="G639" s="9"/>
      <c r="H639" s="9"/>
      <c r="I639" s="9" t="s">
        <v>230</v>
      </c>
      <c r="J639" s="3">
        <f>SUM(J630:J638)</f>
        <v>3.999999999992898E-05</v>
      </c>
      <c r="K639" s="15">
        <f>SUM(K630:K638)</f>
        <v>-1.1102230246251565E-16</v>
      </c>
      <c r="L639" s="4">
        <f>SUM(L630:L638)</f>
        <v>1.3874066172823577E-08</v>
      </c>
      <c r="M639" s="3"/>
    </row>
    <row r="640" spans="1:13" ht="12.75">
      <c r="A640" s="3"/>
      <c r="B640" s="3"/>
      <c r="C640" s="11" t="s">
        <v>231</v>
      </c>
      <c r="D640" s="26">
        <f>STDEV(D630:D638)</f>
        <v>4.317041149913108E-05</v>
      </c>
      <c r="E640" s="3"/>
      <c r="F640" s="10"/>
      <c r="G640" s="3"/>
      <c r="H640" s="3"/>
      <c r="I640" s="3"/>
      <c r="J640" s="3"/>
      <c r="K640" s="3"/>
      <c r="L640" s="4"/>
      <c r="M640" s="3"/>
    </row>
    <row r="641" spans="1:12" ht="15.75">
      <c r="A641" s="3"/>
      <c r="B641" s="3"/>
      <c r="C641" s="11" t="s">
        <v>232</v>
      </c>
      <c r="D641" s="15">
        <f>VAR(D630:D638)</f>
        <v>1.8636844290043086E-09</v>
      </c>
      <c r="E641" s="3"/>
      <c r="F641" s="3"/>
      <c r="G641" s="3"/>
      <c r="H641" s="3"/>
      <c r="I641" s="3"/>
      <c r="J641" s="2" t="s">
        <v>233</v>
      </c>
      <c r="L641" s="2" t="s">
        <v>234</v>
      </c>
    </row>
    <row r="642" spans="1:11" ht="13.5">
      <c r="A642" s="3"/>
      <c r="B642" s="3"/>
      <c r="C642" s="3"/>
      <c r="D642" s="3"/>
      <c r="E642" s="3"/>
      <c r="F642" s="3"/>
      <c r="G642" s="3"/>
      <c r="H642" s="3"/>
      <c r="I642" s="3"/>
      <c r="J642" s="6" t="s">
        <v>237</v>
      </c>
      <c r="K642" s="19">
        <f>J639/L639</f>
        <v>2883.076922198966</v>
      </c>
    </row>
    <row r="643" spans="1:11" ht="13.5">
      <c r="A643" s="3"/>
      <c r="B643" s="3"/>
      <c r="C643" s="3"/>
      <c r="D643" s="3"/>
      <c r="E643" s="3"/>
      <c r="F643" s="3"/>
      <c r="G643" s="3"/>
      <c r="H643" s="3"/>
      <c r="I643" s="11"/>
      <c r="J643" s="6" t="s">
        <v>239</v>
      </c>
      <c r="K643" s="19">
        <f>(M638-(K650+1))/K651</f>
        <v>-1.0690449676496976</v>
      </c>
    </row>
    <row r="644" spans="1:11" ht="13.5">
      <c r="A644" s="3"/>
      <c r="B644" s="3"/>
      <c r="C644" s="3"/>
      <c r="D644" s="3"/>
      <c r="E644" s="3"/>
      <c r="F644" s="3"/>
      <c r="G644" s="3"/>
      <c r="H644" s="3"/>
      <c r="I644" s="3"/>
      <c r="J644" s="6" t="s">
        <v>14</v>
      </c>
      <c r="K644" s="19">
        <f>((K645)*(K647))/K648</f>
        <v>2.1082147776720697</v>
      </c>
    </row>
    <row r="645" spans="1:11" ht="12.75">
      <c r="A645" s="3"/>
      <c r="B645" s="3"/>
      <c r="C645" s="3"/>
      <c r="D645" s="3"/>
      <c r="E645" s="3"/>
      <c r="F645" s="3"/>
      <c r="G645" s="3"/>
      <c r="H645" s="3"/>
      <c r="I645" s="11"/>
      <c r="J645" t="s">
        <v>16</v>
      </c>
      <c r="K645">
        <f>D639-D638</f>
        <v>3.2177777777753214E-05</v>
      </c>
    </row>
    <row r="646" spans="1:11" ht="12.75">
      <c r="A646" s="3"/>
      <c r="B646" s="3"/>
      <c r="C646" s="3"/>
      <c r="D646" s="3"/>
      <c r="E646" s="3"/>
      <c r="F646" s="3"/>
      <c r="G646" s="3"/>
      <c r="H646" s="3"/>
      <c r="I646" s="11"/>
      <c r="J646" t="s">
        <v>20</v>
      </c>
      <c r="K646">
        <f>A638</f>
        <v>9</v>
      </c>
    </row>
    <row r="647" spans="1:11" ht="12.75">
      <c r="A647" s="3"/>
      <c r="B647" s="3"/>
      <c r="C647" s="3"/>
      <c r="D647" s="3"/>
      <c r="E647" s="3"/>
      <c r="F647" s="3"/>
      <c r="G647" s="3"/>
      <c r="H647" s="3"/>
      <c r="I647" s="11"/>
      <c r="J647" t="s">
        <v>23</v>
      </c>
      <c r="K647">
        <f>(K646-1)^0.5</f>
        <v>2.8284271247461903</v>
      </c>
    </row>
    <row r="648" spans="1:11" ht="12.75">
      <c r="A648" s="3"/>
      <c r="B648" s="3"/>
      <c r="C648" s="3"/>
      <c r="D648" s="3"/>
      <c r="E648" s="3"/>
      <c r="F648" s="3"/>
      <c r="G648" s="3"/>
      <c r="H648" s="3"/>
      <c r="I648" s="11"/>
      <c r="J648" t="s">
        <v>231</v>
      </c>
      <c r="K648">
        <f>D640</f>
        <v>4.317041149913108E-05</v>
      </c>
    </row>
    <row r="649" spans="1:11" ht="12.75">
      <c r="A649" s="3"/>
      <c r="B649" s="3"/>
      <c r="C649" s="3"/>
      <c r="D649" s="3"/>
      <c r="E649" s="3"/>
      <c r="F649" s="3"/>
      <c r="G649" s="3"/>
      <c r="H649" s="3"/>
      <c r="I649" s="11"/>
      <c r="J649" t="s">
        <v>24</v>
      </c>
      <c r="K649">
        <f>A638</f>
        <v>9</v>
      </c>
    </row>
    <row r="650" spans="1:11" ht="12.75">
      <c r="A650" s="3"/>
      <c r="B650" s="3"/>
      <c r="C650" s="3"/>
      <c r="D650" s="3"/>
      <c r="E650" s="3"/>
      <c r="F650" s="3"/>
      <c r="G650" s="3"/>
      <c r="H650" s="3"/>
      <c r="I650" s="3"/>
      <c r="J650" t="s">
        <v>25</v>
      </c>
      <c r="K650">
        <f>K649/2</f>
        <v>4.5</v>
      </c>
    </row>
    <row r="651" spans="1:11" ht="12.75">
      <c r="A651" s="3"/>
      <c r="B651" s="3"/>
      <c r="C651" s="3"/>
      <c r="D651" s="3"/>
      <c r="E651" s="3"/>
      <c r="F651" s="3"/>
      <c r="G651" s="3"/>
      <c r="H651" s="3"/>
      <c r="I651" s="3"/>
      <c r="J651" t="s">
        <v>26</v>
      </c>
      <c r="K651">
        <f>((K650*(K650-1))/(K649-1))^0.5</f>
        <v>1.403121520040228</v>
      </c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</sheetData>
  <printOptions gridLines="1"/>
  <pageMargins left="0.75" right="0.75" top="1" bottom="1" header="0.5" footer="0.5"/>
  <pageSetup orientation="landscape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Site License</cp:lastModifiedBy>
  <dcterms:created xsi:type="dcterms:W3CDTF">2003-02-19T05:28:47Z</dcterms:created>
  <cp:category/>
  <cp:version/>
  <cp:contentType/>
  <cp:contentStatus/>
</cp:coreProperties>
</file>